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tables/table5.xml" ContentType="application/vnd.openxmlformats-officedocument.spreadsheetml.table+xml"/>
  <Override PartName="/xl/drawings/drawing8.xml" ContentType="application/vnd.openxmlformats-officedocument.drawing+xml"/>
  <Override PartName="/xl/tables/table6.xml" ContentType="application/vnd.openxmlformats-officedocument.spreadsheetml.table+xml"/>
  <Override PartName="/xl/drawings/drawing9.xml" ContentType="application/vnd.openxmlformats-officedocument.drawing+xml"/>
  <Override PartName="/xl/tables/table7.xml" ContentType="application/vnd.openxmlformats-officedocument.spreadsheetml.table+xml"/>
  <Override PartName="/xl/drawings/drawing10.xml" ContentType="application/vnd.openxmlformats-officedocument.drawing+xml"/>
  <Override PartName="/xl/tables/table8.xml" ContentType="application/vnd.openxmlformats-officedocument.spreadsheetml.table+xml"/>
  <Override PartName="/xl/drawings/drawing11.xml" ContentType="application/vnd.openxmlformats-officedocument.drawing+xml"/>
  <Override PartName="/xl/tables/table9.xml" ContentType="application/vnd.openxmlformats-officedocument.spreadsheetml.table+xml"/>
  <Override PartName="/xl/drawings/drawing12.xml" ContentType="application/vnd.openxmlformats-officedocument.drawing+xml"/>
  <Override PartName="/xl/tables/table10.xml" ContentType="application/vnd.openxmlformats-officedocument.spreadsheetml.table+xml"/>
  <Override PartName="/xl/drawings/drawing13.xml" ContentType="application/vnd.openxmlformats-officedocument.drawing+xml"/>
  <Override PartName="/xl/tables/table11.xml" ContentType="application/vnd.openxmlformats-officedocument.spreadsheetml.table+xml"/>
  <Override PartName="/xl/drawings/drawing14.xml" ContentType="application/vnd.openxmlformats-officedocument.drawing+xml"/>
  <Override PartName="/xl/tables/table1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F:\Téléchargé\"/>
    </mc:Choice>
  </mc:AlternateContent>
  <xr:revisionPtr revIDLastSave="0" documentId="13_ncr:1_{23500AE2-C7B8-4CEB-B240-8BED5921FFDC}" xr6:coauthVersionLast="47" xr6:coauthVersionMax="47" xr10:uidLastSave="{00000000-0000-0000-0000-000000000000}"/>
  <bookViews>
    <workbookView xWindow="-28920" yWindow="-120" windowWidth="29040" windowHeight="15840" activeTab="7" xr2:uid="{00000000-000D-0000-FFFF-FFFF00000000}"/>
  </bookViews>
  <sheets>
    <sheet name="Règlements" sheetId="1" r:id="rId1"/>
    <sheet name="Explications" sheetId="2" r:id="rId2"/>
    <sheet name="AC" sheetId="3" r:id="rId3"/>
    <sheet name="ART" sheetId="4" r:id="rId4"/>
    <sheet name="AR" sheetId="5" r:id="rId5"/>
    <sheet name="AN" sheetId="6" r:id="rId6"/>
    <sheet name="AI" sheetId="7" r:id="rId7"/>
    <sheet name="JA1" sheetId="8" r:id="rId8"/>
    <sheet name="JA2" sheetId="9" r:id="rId9"/>
    <sheet name="JA3" sheetId="10" r:id="rId10"/>
    <sheet name="JAN" sheetId="11" r:id="rId11"/>
    <sheet name="JAI" sheetId="12" r:id="rId12"/>
    <sheet name="FO" sheetId="13" r:id="rId13"/>
    <sheet name="Récapitulatif" sheetId="14" r:id="rId14"/>
  </sheets>
  <calcPr calcId="191029"/>
</workbook>
</file>

<file path=xl/calcChain.xml><?xml version="1.0" encoding="utf-8"?>
<calcChain xmlns="http://schemas.openxmlformats.org/spreadsheetml/2006/main">
  <c r="O336" i="14" l="1"/>
  <c r="O335" i="14"/>
  <c r="O334" i="14"/>
  <c r="O333" i="14"/>
  <c r="O332" i="14"/>
  <c r="O331" i="14"/>
  <c r="O330" i="14"/>
  <c r="O329" i="14"/>
  <c r="O328" i="14"/>
  <c r="O327" i="14"/>
  <c r="O326" i="14"/>
  <c r="O325" i="14"/>
  <c r="O324" i="14"/>
  <c r="O323" i="14"/>
  <c r="O322" i="14"/>
  <c r="O321" i="14"/>
  <c r="O320" i="14"/>
  <c r="O319" i="14"/>
  <c r="O318" i="14"/>
  <c r="O317" i="14"/>
  <c r="O316" i="14"/>
  <c r="O315" i="14"/>
  <c r="O314" i="14"/>
  <c r="N313" i="14"/>
  <c r="M313" i="14"/>
  <c r="L313" i="14"/>
  <c r="K313" i="14"/>
  <c r="J313" i="14"/>
  <c r="I313" i="14"/>
  <c r="H313" i="14"/>
  <c r="G313" i="14"/>
  <c r="F313" i="14"/>
  <c r="E313" i="14"/>
  <c r="D313" i="14"/>
  <c r="O313" i="14" s="1"/>
  <c r="A313" i="14"/>
  <c r="N312" i="14"/>
  <c r="M312" i="14"/>
  <c r="L312" i="14"/>
  <c r="K312" i="14"/>
  <c r="J312" i="14"/>
  <c r="I312" i="14"/>
  <c r="H312" i="14"/>
  <c r="G312" i="14"/>
  <c r="F312" i="14"/>
  <c r="E312" i="14"/>
  <c r="D312" i="14"/>
  <c r="O312" i="14" s="1"/>
  <c r="A312" i="14"/>
  <c r="N311" i="14"/>
  <c r="M311" i="14"/>
  <c r="L311" i="14"/>
  <c r="K311" i="14"/>
  <c r="J311" i="14"/>
  <c r="I311" i="14"/>
  <c r="H311" i="14"/>
  <c r="G311" i="14"/>
  <c r="O311" i="14" s="1"/>
  <c r="F311" i="14"/>
  <c r="E311" i="14"/>
  <c r="D311" i="14"/>
  <c r="A311" i="14"/>
  <c r="N310" i="14"/>
  <c r="M310" i="14"/>
  <c r="L310" i="14"/>
  <c r="K310" i="14"/>
  <c r="J310" i="14"/>
  <c r="I310" i="14"/>
  <c r="H310" i="14"/>
  <c r="G310" i="14"/>
  <c r="F310" i="14"/>
  <c r="E310" i="14"/>
  <c r="D310" i="14"/>
  <c r="O310" i="14" s="1"/>
  <c r="A310" i="14"/>
  <c r="N309" i="14"/>
  <c r="M309" i="14"/>
  <c r="L309" i="14"/>
  <c r="K309" i="14"/>
  <c r="J309" i="14"/>
  <c r="I309" i="14"/>
  <c r="H309" i="14"/>
  <c r="G309" i="14"/>
  <c r="O309" i="14" s="1"/>
  <c r="F309" i="14"/>
  <c r="E309" i="14"/>
  <c r="D309" i="14"/>
  <c r="A309" i="14"/>
  <c r="N308" i="14"/>
  <c r="M308" i="14"/>
  <c r="L308" i="14"/>
  <c r="K308" i="14"/>
  <c r="J308" i="14"/>
  <c r="I308" i="14"/>
  <c r="H308" i="14"/>
  <c r="G308" i="14"/>
  <c r="F308" i="14"/>
  <c r="E308" i="14"/>
  <c r="D308" i="14"/>
  <c r="O308" i="14" s="1"/>
  <c r="A308" i="14"/>
  <c r="N307" i="14"/>
  <c r="M307" i="14"/>
  <c r="L307" i="14"/>
  <c r="K307" i="14"/>
  <c r="J307" i="14"/>
  <c r="I307" i="14"/>
  <c r="H307" i="14"/>
  <c r="G307" i="14"/>
  <c r="F307" i="14"/>
  <c r="E307" i="14"/>
  <c r="D307" i="14"/>
  <c r="O307" i="14" s="1"/>
  <c r="A307" i="14"/>
  <c r="N306" i="14"/>
  <c r="M306" i="14"/>
  <c r="L306" i="14"/>
  <c r="K306" i="14"/>
  <c r="J306" i="14"/>
  <c r="I306" i="14"/>
  <c r="H306" i="14"/>
  <c r="G306" i="14"/>
  <c r="F306" i="14"/>
  <c r="E306" i="14"/>
  <c r="D306" i="14"/>
  <c r="O306" i="14" s="1"/>
  <c r="A306" i="14"/>
  <c r="N305" i="14"/>
  <c r="M305" i="14"/>
  <c r="L305" i="14"/>
  <c r="K305" i="14"/>
  <c r="J305" i="14"/>
  <c r="I305" i="14"/>
  <c r="H305" i="14"/>
  <c r="G305" i="14"/>
  <c r="F305" i="14"/>
  <c r="E305" i="14"/>
  <c r="D305" i="14"/>
  <c r="O305" i="14" s="1"/>
  <c r="A305" i="14"/>
  <c r="N304" i="14"/>
  <c r="M304" i="14"/>
  <c r="L304" i="14"/>
  <c r="K304" i="14"/>
  <c r="J304" i="14"/>
  <c r="I304" i="14"/>
  <c r="H304" i="14"/>
  <c r="G304" i="14"/>
  <c r="F304" i="14"/>
  <c r="E304" i="14"/>
  <c r="D304" i="14"/>
  <c r="O304" i="14" s="1"/>
  <c r="A304" i="14"/>
  <c r="N303" i="14"/>
  <c r="M303" i="14"/>
  <c r="L303" i="14"/>
  <c r="K303" i="14"/>
  <c r="J303" i="14"/>
  <c r="I303" i="14"/>
  <c r="H303" i="14"/>
  <c r="G303" i="14"/>
  <c r="F303" i="14"/>
  <c r="O303" i="14" s="1"/>
  <c r="E303" i="14"/>
  <c r="D303" i="14"/>
  <c r="C303" i="14"/>
  <c r="B303" i="14"/>
  <c r="A303" i="14"/>
  <c r="N302" i="14"/>
  <c r="M302" i="14"/>
  <c r="L302" i="14"/>
  <c r="K302" i="14"/>
  <c r="J302" i="14"/>
  <c r="I302" i="14"/>
  <c r="H302" i="14"/>
  <c r="G302" i="14"/>
  <c r="F302" i="14"/>
  <c r="E302" i="14"/>
  <c r="D302" i="14"/>
  <c r="O302" i="14" s="1"/>
  <c r="C302" i="14"/>
  <c r="B302" i="14"/>
  <c r="A302" i="14"/>
  <c r="N301" i="14"/>
  <c r="M301" i="14"/>
  <c r="L301" i="14"/>
  <c r="K301" i="14"/>
  <c r="J301" i="14"/>
  <c r="I301" i="14"/>
  <c r="H301" i="14"/>
  <c r="G301" i="14"/>
  <c r="F301" i="14"/>
  <c r="E301" i="14"/>
  <c r="D301" i="14"/>
  <c r="O301" i="14" s="1"/>
  <c r="C301" i="14"/>
  <c r="B301" i="14"/>
  <c r="A301" i="14"/>
  <c r="N300" i="14"/>
  <c r="M300" i="14"/>
  <c r="L300" i="14"/>
  <c r="K300" i="14"/>
  <c r="J300" i="14"/>
  <c r="I300" i="14"/>
  <c r="H300" i="14"/>
  <c r="G300" i="14"/>
  <c r="F300" i="14"/>
  <c r="E300" i="14"/>
  <c r="D300" i="14"/>
  <c r="O300" i="14" s="1"/>
  <c r="C300" i="14"/>
  <c r="B300" i="14"/>
  <c r="A300" i="14"/>
  <c r="N299" i="14"/>
  <c r="M299" i="14"/>
  <c r="L299" i="14"/>
  <c r="K299" i="14"/>
  <c r="J299" i="14"/>
  <c r="I299" i="14"/>
  <c r="H299" i="14"/>
  <c r="G299" i="14"/>
  <c r="O299" i="14" s="1"/>
  <c r="F299" i="14"/>
  <c r="E299" i="14"/>
  <c r="D299" i="14"/>
  <c r="C299" i="14"/>
  <c r="B299" i="14"/>
  <c r="A299" i="14"/>
  <c r="N298" i="14"/>
  <c r="M298" i="14"/>
  <c r="L298" i="14"/>
  <c r="K298" i="14"/>
  <c r="J298" i="14"/>
  <c r="I298" i="14"/>
  <c r="H298" i="14"/>
  <c r="G298" i="14"/>
  <c r="F298" i="14"/>
  <c r="E298" i="14"/>
  <c r="D298" i="14"/>
  <c r="O298" i="14" s="1"/>
  <c r="C298" i="14"/>
  <c r="B298" i="14"/>
  <c r="A298" i="14"/>
  <c r="N297" i="14"/>
  <c r="M297" i="14"/>
  <c r="L297" i="14"/>
  <c r="K297" i="14"/>
  <c r="J297" i="14"/>
  <c r="I297" i="14"/>
  <c r="H297" i="14"/>
  <c r="G297" i="14"/>
  <c r="O297" i="14" s="1"/>
  <c r="F297" i="14"/>
  <c r="E297" i="14"/>
  <c r="D297" i="14"/>
  <c r="C297" i="14"/>
  <c r="B297" i="14"/>
  <c r="A297" i="14"/>
  <c r="N296" i="14"/>
  <c r="M296" i="14"/>
  <c r="L296" i="14"/>
  <c r="K296" i="14"/>
  <c r="J296" i="14"/>
  <c r="I296" i="14"/>
  <c r="H296" i="14"/>
  <c r="G296" i="14"/>
  <c r="O296" i="14" s="1"/>
  <c r="F296" i="14"/>
  <c r="E296" i="14"/>
  <c r="D296" i="14"/>
  <c r="C296" i="14"/>
  <c r="B296" i="14"/>
  <c r="A296" i="14"/>
  <c r="N295" i="14"/>
  <c r="M295" i="14"/>
  <c r="L295" i="14"/>
  <c r="K295" i="14"/>
  <c r="J295" i="14"/>
  <c r="I295" i="14"/>
  <c r="H295" i="14"/>
  <c r="G295" i="14"/>
  <c r="F295" i="14"/>
  <c r="O295" i="14" s="1"/>
  <c r="E295" i="14"/>
  <c r="D295" i="14"/>
  <c r="C295" i="14"/>
  <c r="B295" i="14"/>
  <c r="A295" i="14"/>
  <c r="N294" i="14"/>
  <c r="M294" i="14"/>
  <c r="L294" i="14"/>
  <c r="K294" i="14"/>
  <c r="J294" i="14"/>
  <c r="I294" i="14"/>
  <c r="H294" i="14"/>
  <c r="G294" i="14"/>
  <c r="F294" i="14"/>
  <c r="E294" i="14"/>
  <c r="D294" i="14"/>
  <c r="O294" i="14" s="1"/>
  <c r="C294" i="14"/>
  <c r="B294" i="14"/>
  <c r="A294" i="14"/>
  <c r="N293" i="14"/>
  <c r="M293" i="14"/>
  <c r="L293" i="14"/>
  <c r="K293" i="14"/>
  <c r="J293" i="14"/>
  <c r="I293" i="14"/>
  <c r="H293" i="14"/>
  <c r="G293" i="14"/>
  <c r="F293" i="14"/>
  <c r="E293" i="14"/>
  <c r="D293" i="14"/>
  <c r="O293" i="14" s="1"/>
  <c r="C293" i="14"/>
  <c r="B293" i="14"/>
  <c r="A293" i="14"/>
  <c r="N292" i="14"/>
  <c r="M292" i="14"/>
  <c r="L292" i="14"/>
  <c r="K292" i="14"/>
  <c r="J292" i="14"/>
  <c r="I292" i="14"/>
  <c r="H292" i="14"/>
  <c r="G292" i="14"/>
  <c r="O292" i="14" s="1"/>
  <c r="F292" i="14"/>
  <c r="E292" i="14"/>
  <c r="D292" i="14"/>
  <c r="C292" i="14"/>
  <c r="B292" i="14"/>
  <c r="A292" i="14"/>
  <c r="N291" i="14"/>
  <c r="M291" i="14"/>
  <c r="L291" i="14"/>
  <c r="K291" i="14"/>
  <c r="J291" i="14"/>
  <c r="I291" i="14"/>
  <c r="H291" i="14"/>
  <c r="G291" i="14"/>
  <c r="F291" i="14"/>
  <c r="O291" i="14" s="1"/>
  <c r="E291" i="14"/>
  <c r="D291" i="14"/>
  <c r="C291" i="14"/>
  <c r="B291" i="14"/>
  <c r="A291" i="14"/>
  <c r="N290" i="14"/>
  <c r="M290" i="14"/>
  <c r="L290" i="14"/>
  <c r="K290" i="14"/>
  <c r="J290" i="14"/>
  <c r="I290" i="14"/>
  <c r="H290" i="14"/>
  <c r="G290" i="14"/>
  <c r="F290" i="14"/>
  <c r="E290" i="14"/>
  <c r="D290" i="14"/>
  <c r="O290" i="14" s="1"/>
  <c r="C290" i="14"/>
  <c r="B290" i="14"/>
  <c r="A290" i="14"/>
  <c r="N289" i="14"/>
  <c r="M289" i="14"/>
  <c r="L289" i="14"/>
  <c r="K289" i="14"/>
  <c r="J289" i="14"/>
  <c r="I289" i="14"/>
  <c r="H289" i="14"/>
  <c r="G289" i="14"/>
  <c r="F289" i="14"/>
  <c r="E289" i="14"/>
  <c r="D289" i="14"/>
  <c r="O289" i="14" s="1"/>
  <c r="C289" i="14"/>
  <c r="B289" i="14"/>
  <c r="A289" i="14"/>
  <c r="N288" i="14"/>
  <c r="M288" i="14"/>
  <c r="L288" i="14"/>
  <c r="K288" i="14"/>
  <c r="J288" i="14"/>
  <c r="I288" i="14"/>
  <c r="H288" i="14"/>
  <c r="G288" i="14"/>
  <c r="O288" i="14" s="1"/>
  <c r="F288" i="14"/>
  <c r="E288" i="14"/>
  <c r="D288" i="14"/>
  <c r="C288" i="14"/>
  <c r="B288" i="14"/>
  <c r="A288" i="14"/>
  <c r="N287" i="14"/>
  <c r="M287" i="14"/>
  <c r="L287" i="14"/>
  <c r="K287" i="14"/>
  <c r="J287" i="14"/>
  <c r="I287" i="14"/>
  <c r="H287" i="14"/>
  <c r="G287" i="14"/>
  <c r="F287" i="14"/>
  <c r="O287" i="14" s="1"/>
  <c r="E287" i="14"/>
  <c r="D287" i="14"/>
  <c r="C287" i="14"/>
  <c r="B287" i="14"/>
  <c r="A287" i="14"/>
  <c r="N286" i="14"/>
  <c r="M286" i="14"/>
  <c r="L286" i="14"/>
  <c r="K286" i="14"/>
  <c r="J286" i="14"/>
  <c r="I286" i="14"/>
  <c r="H286" i="14"/>
  <c r="G286" i="14"/>
  <c r="F286" i="14"/>
  <c r="E286" i="14"/>
  <c r="D286" i="14"/>
  <c r="O286" i="14" s="1"/>
  <c r="C286" i="14"/>
  <c r="B286" i="14"/>
  <c r="A286" i="14"/>
  <c r="N285" i="14"/>
  <c r="M285" i="14"/>
  <c r="L285" i="14"/>
  <c r="K285" i="14"/>
  <c r="J285" i="14"/>
  <c r="I285" i="14"/>
  <c r="H285" i="14"/>
  <c r="G285" i="14"/>
  <c r="F285" i="14"/>
  <c r="E285" i="14"/>
  <c r="D285" i="14"/>
  <c r="O285" i="14" s="1"/>
  <c r="C285" i="14"/>
  <c r="B285" i="14"/>
  <c r="A285" i="14"/>
  <c r="N284" i="14"/>
  <c r="M284" i="14"/>
  <c r="L284" i="14"/>
  <c r="K284" i="14"/>
  <c r="J284" i="14"/>
  <c r="I284" i="14"/>
  <c r="H284" i="14"/>
  <c r="G284" i="14"/>
  <c r="O284" i="14" s="1"/>
  <c r="F284" i="14"/>
  <c r="E284" i="14"/>
  <c r="D284" i="14"/>
  <c r="C284" i="14"/>
  <c r="B284" i="14"/>
  <c r="A284" i="14"/>
  <c r="N283" i="14"/>
  <c r="M283" i="14"/>
  <c r="L283" i="14"/>
  <c r="K283" i="14"/>
  <c r="J283" i="14"/>
  <c r="I283" i="14"/>
  <c r="H283" i="14"/>
  <c r="G283" i="14"/>
  <c r="F283" i="14"/>
  <c r="O283" i="14" s="1"/>
  <c r="E283" i="14"/>
  <c r="D283" i="14"/>
  <c r="C283" i="14"/>
  <c r="B283" i="14"/>
  <c r="A283" i="14"/>
  <c r="N282" i="14"/>
  <c r="M282" i="14"/>
  <c r="L282" i="14"/>
  <c r="K282" i="14"/>
  <c r="J282" i="14"/>
  <c r="I282" i="14"/>
  <c r="H282" i="14"/>
  <c r="G282" i="14"/>
  <c r="F282" i="14"/>
  <c r="E282" i="14"/>
  <c r="D282" i="14"/>
  <c r="O282" i="14" s="1"/>
  <c r="C282" i="14"/>
  <c r="B282" i="14"/>
  <c r="A282" i="14"/>
  <c r="N281" i="14"/>
  <c r="M281" i="14"/>
  <c r="L281" i="14"/>
  <c r="K281" i="14"/>
  <c r="J281" i="14"/>
  <c r="I281" i="14"/>
  <c r="H281" i="14"/>
  <c r="G281" i="14"/>
  <c r="F281" i="14"/>
  <c r="E281" i="14"/>
  <c r="D281" i="14"/>
  <c r="O281" i="14" s="1"/>
  <c r="C281" i="14"/>
  <c r="B281" i="14"/>
  <c r="A281" i="14"/>
  <c r="N280" i="14"/>
  <c r="M280" i="14"/>
  <c r="L280" i="14"/>
  <c r="K280" i="14"/>
  <c r="J280" i="14"/>
  <c r="I280" i="14"/>
  <c r="H280" i="14"/>
  <c r="G280" i="14"/>
  <c r="O280" i="14" s="1"/>
  <c r="F280" i="14"/>
  <c r="E280" i="14"/>
  <c r="D280" i="14"/>
  <c r="C280" i="14"/>
  <c r="B280" i="14"/>
  <c r="A280" i="14"/>
  <c r="N279" i="14"/>
  <c r="M279" i="14"/>
  <c r="L279" i="14"/>
  <c r="K279" i="14"/>
  <c r="J279" i="14"/>
  <c r="I279" i="14"/>
  <c r="H279" i="14"/>
  <c r="G279" i="14"/>
  <c r="F279" i="14"/>
  <c r="O279" i="14" s="1"/>
  <c r="E279" i="14"/>
  <c r="D279" i="14"/>
  <c r="C279" i="14"/>
  <c r="B279" i="14"/>
  <c r="A279" i="14"/>
  <c r="N278" i="14"/>
  <c r="M278" i="14"/>
  <c r="L278" i="14"/>
  <c r="K278" i="14"/>
  <c r="J278" i="14"/>
  <c r="I278" i="14"/>
  <c r="H278" i="14"/>
  <c r="G278" i="14"/>
  <c r="F278" i="14"/>
  <c r="E278" i="14"/>
  <c r="D278" i="14"/>
  <c r="O278" i="14" s="1"/>
  <c r="C278" i="14"/>
  <c r="B278" i="14"/>
  <c r="A278" i="14"/>
  <c r="N277" i="14"/>
  <c r="M277" i="14"/>
  <c r="L277" i="14"/>
  <c r="K277" i="14"/>
  <c r="J277" i="14"/>
  <c r="I277" i="14"/>
  <c r="H277" i="14"/>
  <c r="G277" i="14"/>
  <c r="F277" i="14"/>
  <c r="E277" i="14"/>
  <c r="D277" i="14"/>
  <c r="O277" i="14" s="1"/>
  <c r="C277" i="14"/>
  <c r="B277" i="14"/>
  <c r="A277" i="14"/>
  <c r="N276" i="14"/>
  <c r="M276" i="14"/>
  <c r="L276" i="14"/>
  <c r="K276" i="14"/>
  <c r="O276" i="14" s="1"/>
  <c r="J276" i="14"/>
  <c r="I276" i="14"/>
  <c r="H276" i="14"/>
  <c r="G276" i="14"/>
  <c r="F276" i="14"/>
  <c r="E276" i="14"/>
  <c r="D276" i="14"/>
  <c r="C276" i="14"/>
  <c r="B276" i="14"/>
  <c r="A276" i="14"/>
  <c r="N275" i="14"/>
  <c r="M275" i="14"/>
  <c r="L275" i="14"/>
  <c r="K275" i="14"/>
  <c r="J275" i="14"/>
  <c r="I275" i="14"/>
  <c r="H275" i="14"/>
  <c r="G275" i="14"/>
  <c r="F275" i="14"/>
  <c r="O275" i="14" s="1"/>
  <c r="E275" i="14"/>
  <c r="D275" i="14"/>
  <c r="C275" i="14"/>
  <c r="B275" i="14"/>
  <c r="A275" i="14"/>
  <c r="N274" i="14"/>
  <c r="M274" i="14"/>
  <c r="L274" i="14"/>
  <c r="K274" i="14"/>
  <c r="J274" i="14"/>
  <c r="I274" i="14"/>
  <c r="H274" i="14"/>
  <c r="G274" i="14"/>
  <c r="F274" i="14"/>
  <c r="E274" i="14"/>
  <c r="D274" i="14"/>
  <c r="O274" i="14" s="1"/>
  <c r="C274" i="14"/>
  <c r="B274" i="14"/>
  <c r="A274" i="14"/>
  <c r="N273" i="14"/>
  <c r="M273" i="14"/>
  <c r="L273" i="14"/>
  <c r="K273" i="14"/>
  <c r="J273" i="14"/>
  <c r="I273" i="14"/>
  <c r="H273" i="14"/>
  <c r="G273" i="14"/>
  <c r="F273" i="14"/>
  <c r="E273" i="14"/>
  <c r="D273" i="14"/>
  <c r="O273" i="14" s="1"/>
  <c r="C273" i="14"/>
  <c r="B273" i="14"/>
  <c r="A273" i="14"/>
  <c r="N272" i="14"/>
  <c r="M272" i="14"/>
  <c r="L272" i="14"/>
  <c r="K272" i="14"/>
  <c r="J272" i="14"/>
  <c r="I272" i="14"/>
  <c r="H272" i="14"/>
  <c r="G272" i="14"/>
  <c r="O272" i="14" s="1"/>
  <c r="F272" i="14"/>
  <c r="E272" i="14"/>
  <c r="D272" i="14"/>
  <c r="C272" i="14"/>
  <c r="B272" i="14"/>
  <c r="A272" i="14"/>
  <c r="N271" i="14"/>
  <c r="M271" i="14"/>
  <c r="L271" i="14"/>
  <c r="K271" i="14"/>
  <c r="J271" i="14"/>
  <c r="I271" i="14"/>
  <c r="H271" i="14"/>
  <c r="G271" i="14"/>
  <c r="F271" i="14"/>
  <c r="O271" i="14" s="1"/>
  <c r="E271" i="14"/>
  <c r="D271" i="14"/>
  <c r="C271" i="14"/>
  <c r="B271" i="14"/>
  <c r="A271" i="14"/>
  <c r="N270" i="14"/>
  <c r="M270" i="14"/>
  <c r="L270" i="14"/>
  <c r="K270" i="14"/>
  <c r="J270" i="14"/>
  <c r="I270" i="14"/>
  <c r="H270" i="14"/>
  <c r="G270" i="14"/>
  <c r="F270" i="14"/>
  <c r="E270" i="14"/>
  <c r="D270" i="14"/>
  <c r="O270" i="14" s="1"/>
  <c r="C270" i="14"/>
  <c r="B270" i="14"/>
  <c r="A270" i="14"/>
  <c r="N269" i="14"/>
  <c r="M269" i="14"/>
  <c r="L269" i="14"/>
  <c r="K269" i="14"/>
  <c r="J269" i="14"/>
  <c r="I269" i="14"/>
  <c r="H269" i="14"/>
  <c r="G269" i="14"/>
  <c r="F269" i="14"/>
  <c r="E269" i="14"/>
  <c r="D269" i="14"/>
  <c r="O269" i="14" s="1"/>
  <c r="C269" i="14"/>
  <c r="B269" i="14"/>
  <c r="A269" i="14"/>
  <c r="N268" i="14"/>
  <c r="M268" i="14"/>
  <c r="L268" i="14"/>
  <c r="K268" i="14"/>
  <c r="O268" i="14" s="1"/>
  <c r="J268" i="14"/>
  <c r="I268" i="14"/>
  <c r="H268" i="14"/>
  <c r="G268" i="14"/>
  <c r="F268" i="14"/>
  <c r="E268" i="14"/>
  <c r="D268" i="14"/>
  <c r="C268" i="14"/>
  <c r="B268" i="14"/>
  <c r="A268" i="14"/>
  <c r="N267" i="14"/>
  <c r="M267" i="14"/>
  <c r="L267" i="14"/>
  <c r="K267" i="14"/>
  <c r="J267" i="14"/>
  <c r="I267" i="14"/>
  <c r="H267" i="14"/>
  <c r="G267" i="14"/>
  <c r="F267" i="14"/>
  <c r="O267" i="14" s="1"/>
  <c r="E267" i="14"/>
  <c r="D267" i="14"/>
  <c r="C267" i="14"/>
  <c r="B267" i="14"/>
  <c r="A267" i="14"/>
  <c r="N266" i="14"/>
  <c r="M266" i="14"/>
  <c r="L266" i="14"/>
  <c r="K266" i="14"/>
  <c r="J266" i="14"/>
  <c r="I266" i="14"/>
  <c r="H266" i="14"/>
  <c r="G266" i="14"/>
  <c r="F266" i="14"/>
  <c r="E266" i="14"/>
  <c r="D266" i="14"/>
  <c r="O266" i="14" s="1"/>
  <c r="C266" i="14"/>
  <c r="B266" i="14"/>
  <c r="A266" i="14"/>
  <c r="N265" i="14"/>
  <c r="M265" i="14"/>
  <c r="L265" i="14"/>
  <c r="K265" i="14"/>
  <c r="J265" i="14"/>
  <c r="I265" i="14"/>
  <c r="H265" i="14"/>
  <c r="G265" i="14"/>
  <c r="F265" i="14"/>
  <c r="E265" i="14"/>
  <c r="D265" i="14"/>
  <c r="O265" i="14" s="1"/>
  <c r="C265" i="14"/>
  <c r="B265" i="14"/>
  <c r="A265" i="14"/>
  <c r="N264" i="14"/>
  <c r="M264" i="14"/>
  <c r="L264" i="14"/>
  <c r="K264" i="14"/>
  <c r="J264" i="14"/>
  <c r="I264" i="14"/>
  <c r="H264" i="14"/>
  <c r="G264" i="14"/>
  <c r="O264" i="14" s="1"/>
  <c r="F264" i="14"/>
  <c r="E264" i="14"/>
  <c r="D264" i="14"/>
  <c r="C264" i="14"/>
  <c r="B264" i="14"/>
  <c r="A264" i="14"/>
  <c r="N263" i="14"/>
  <c r="M263" i="14"/>
  <c r="L263" i="14"/>
  <c r="K263" i="14"/>
  <c r="J263" i="14"/>
  <c r="I263" i="14"/>
  <c r="H263" i="14"/>
  <c r="G263" i="14"/>
  <c r="F263" i="14"/>
  <c r="O263" i="14" s="1"/>
  <c r="E263" i="14"/>
  <c r="D263" i="14"/>
  <c r="C263" i="14"/>
  <c r="B263" i="14"/>
  <c r="A263" i="14"/>
  <c r="N262" i="14"/>
  <c r="M262" i="14"/>
  <c r="L262" i="14"/>
  <c r="K262" i="14"/>
  <c r="J262" i="14"/>
  <c r="I262" i="14"/>
  <c r="H262" i="14"/>
  <c r="G262" i="14"/>
  <c r="F262" i="14"/>
  <c r="E262" i="14"/>
  <c r="D262" i="14"/>
  <c r="O262" i="14" s="1"/>
  <c r="C262" i="14"/>
  <c r="B262" i="14"/>
  <c r="A262" i="14"/>
  <c r="N261" i="14"/>
  <c r="M261" i="14"/>
  <c r="L261" i="14"/>
  <c r="K261" i="14"/>
  <c r="J261" i="14"/>
  <c r="I261" i="14"/>
  <c r="H261" i="14"/>
  <c r="G261" i="14"/>
  <c r="F261" i="14"/>
  <c r="E261" i="14"/>
  <c r="D261" i="14"/>
  <c r="O261" i="14" s="1"/>
  <c r="C261" i="14"/>
  <c r="B261" i="14"/>
  <c r="A261" i="14"/>
  <c r="N260" i="14"/>
  <c r="M260" i="14"/>
  <c r="L260" i="14"/>
  <c r="K260" i="14"/>
  <c r="J260" i="14"/>
  <c r="I260" i="14"/>
  <c r="H260" i="14"/>
  <c r="G260" i="14"/>
  <c r="O260" i="14" s="1"/>
  <c r="F260" i="14"/>
  <c r="E260" i="14"/>
  <c r="D260" i="14"/>
  <c r="C260" i="14"/>
  <c r="B260" i="14"/>
  <c r="A260" i="14"/>
  <c r="N259" i="14"/>
  <c r="M259" i="14"/>
  <c r="L259" i="14"/>
  <c r="K259" i="14"/>
  <c r="J259" i="14"/>
  <c r="I259" i="14"/>
  <c r="H259" i="14"/>
  <c r="G259" i="14"/>
  <c r="F259" i="14"/>
  <c r="O259" i="14" s="1"/>
  <c r="E259" i="14"/>
  <c r="D259" i="14"/>
  <c r="C259" i="14"/>
  <c r="B259" i="14"/>
  <c r="A259" i="14"/>
  <c r="N258" i="14"/>
  <c r="M258" i="14"/>
  <c r="L258" i="14"/>
  <c r="K258" i="14"/>
  <c r="J258" i="14"/>
  <c r="I258" i="14"/>
  <c r="H258" i="14"/>
  <c r="G258" i="14"/>
  <c r="F258" i="14"/>
  <c r="E258" i="14"/>
  <c r="D258" i="14"/>
  <c r="O258" i="14" s="1"/>
  <c r="C258" i="14"/>
  <c r="B258" i="14"/>
  <c r="A258" i="14"/>
  <c r="N257" i="14"/>
  <c r="M257" i="14"/>
  <c r="L257" i="14"/>
  <c r="K257" i="14"/>
  <c r="J257" i="14"/>
  <c r="I257" i="14"/>
  <c r="H257" i="14"/>
  <c r="G257" i="14"/>
  <c r="F257" i="14"/>
  <c r="E257" i="14"/>
  <c r="D257" i="14"/>
  <c r="O257" i="14" s="1"/>
  <c r="C257" i="14"/>
  <c r="B257" i="14"/>
  <c r="A257" i="14"/>
  <c r="N256" i="14"/>
  <c r="M256" i="14"/>
  <c r="L256" i="14"/>
  <c r="K256" i="14"/>
  <c r="J256" i="14"/>
  <c r="I256" i="14"/>
  <c r="H256" i="14"/>
  <c r="G256" i="14"/>
  <c r="O256" i="14" s="1"/>
  <c r="F256" i="14"/>
  <c r="E256" i="14"/>
  <c r="D256" i="14"/>
  <c r="C256" i="14"/>
  <c r="B256" i="14"/>
  <c r="A256" i="14"/>
  <c r="N255" i="14"/>
  <c r="M255" i="14"/>
  <c r="L255" i="14"/>
  <c r="K255" i="14"/>
  <c r="J255" i="14"/>
  <c r="I255" i="14"/>
  <c r="H255" i="14"/>
  <c r="G255" i="14"/>
  <c r="F255" i="14"/>
  <c r="O255" i="14" s="1"/>
  <c r="E255" i="14"/>
  <c r="D255" i="14"/>
  <c r="C255" i="14"/>
  <c r="B255" i="14"/>
  <c r="A255" i="14"/>
  <c r="N254" i="14"/>
  <c r="M254" i="14"/>
  <c r="L254" i="14"/>
  <c r="K254" i="14"/>
  <c r="J254" i="14"/>
  <c r="I254" i="14"/>
  <c r="H254" i="14"/>
  <c r="G254" i="14"/>
  <c r="F254" i="14"/>
  <c r="E254" i="14"/>
  <c r="O254" i="14" s="1"/>
  <c r="D254" i="14"/>
  <c r="C254" i="14"/>
  <c r="B254" i="14"/>
  <c r="A254" i="14"/>
  <c r="N253" i="14"/>
  <c r="M253" i="14"/>
  <c r="L253" i="14"/>
  <c r="K253" i="14"/>
  <c r="J253" i="14"/>
  <c r="I253" i="14"/>
  <c r="H253" i="14"/>
  <c r="G253" i="14"/>
  <c r="F253" i="14"/>
  <c r="E253" i="14"/>
  <c r="D253" i="14"/>
  <c r="O253" i="14" s="1"/>
  <c r="C253" i="14"/>
  <c r="B253" i="14"/>
  <c r="A253" i="14"/>
  <c r="N252" i="14"/>
  <c r="M252" i="14"/>
  <c r="L252" i="14"/>
  <c r="K252" i="14"/>
  <c r="J252" i="14"/>
  <c r="I252" i="14"/>
  <c r="H252" i="14"/>
  <c r="G252" i="14"/>
  <c r="O252" i="14" s="1"/>
  <c r="F252" i="14"/>
  <c r="E252" i="14"/>
  <c r="D252" i="14"/>
  <c r="C252" i="14"/>
  <c r="B252" i="14"/>
  <c r="A252" i="14"/>
  <c r="N251" i="14"/>
  <c r="M251" i="14"/>
  <c r="L251" i="14"/>
  <c r="K251" i="14"/>
  <c r="J251" i="14"/>
  <c r="I251" i="14"/>
  <c r="H251" i="14"/>
  <c r="G251" i="14"/>
  <c r="F251" i="14"/>
  <c r="O251" i="14" s="1"/>
  <c r="E251" i="14"/>
  <c r="D251" i="14"/>
  <c r="C251" i="14"/>
  <c r="B251" i="14"/>
  <c r="A251" i="14"/>
  <c r="N250" i="14"/>
  <c r="M250" i="14"/>
  <c r="L250" i="14"/>
  <c r="K250" i="14"/>
  <c r="J250" i="14"/>
  <c r="I250" i="14"/>
  <c r="H250" i="14"/>
  <c r="G250" i="14"/>
  <c r="F250" i="14"/>
  <c r="E250" i="14"/>
  <c r="D250" i="14"/>
  <c r="O250" i="14" s="1"/>
  <c r="C250" i="14"/>
  <c r="B250" i="14"/>
  <c r="A250" i="14"/>
  <c r="N249" i="14"/>
  <c r="M249" i="14"/>
  <c r="L249" i="14"/>
  <c r="K249" i="14"/>
  <c r="J249" i="14"/>
  <c r="I249" i="14"/>
  <c r="H249" i="14"/>
  <c r="G249" i="14"/>
  <c r="F249" i="14"/>
  <c r="E249" i="14"/>
  <c r="D249" i="14"/>
  <c r="O249" i="14" s="1"/>
  <c r="C249" i="14"/>
  <c r="B249" i="14"/>
  <c r="A249" i="14"/>
  <c r="N248" i="14"/>
  <c r="M248" i="14"/>
  <c r="L248" i="14"/>
  <c r="K248" i="14"/>
  <c r="J248" i="14"/>
  <c r="I248" i="14"/>
  <c r="H248" i="14"/>
  <c r="G248" i="14"/>
  <c r="O248" i="14" s="1"/>
  <c r="F248" i="14"/>
  <c r="E248" i="14"/>
  <c r="D248" i="14"/>
  <c r="C248" i="14"/>
  <c r="B248" i="14"/>
  <c r="A248" i="14"/>
  <c r="N247" i="14"/>
  <c r="M247" i="14"/>
  <c r="L247" i="14"/>
  <c r="K247" i="14"/>
  <c r="J247" i="14"/>
  <c r="I247" i="14"/>
  <c r="H247" i="14"/>
  <c r="G247" i="14"/>
  <c r="F247" i="14"/>
  <c r="O247" i="14" s="1"/>
  <c r="E247" i="14"/>
  <c r="D247" i="14"/>
  <c r="C247" i="14"/>
  <c r="B247" i="14"/>
  <c r="A247" i="14"/>
  <c r="N246" i="14"/>
  <c r="M246" i="14"/>
  <c r="L246" i="14"/>
  <c r="K246" i="14"/>
  <c r="J246" i="14"/>
  <c r="I246" i="14"/>
  <c r="H246" i="14"/>
  <c r="G246" i="14"/>
  <c r="F246" i="14"/>
  <c r="E246" i="14"/>
  <c r="O246" i="14" s="1"/>
  <c r="D246" i="14"/>
  <c r="C246" i="14"/>
  <c r="B246" i="14"/>
  <c r="A246" i="14"/>
  <c r="N245" i="14"/>
  <c r="M245" i="14"/>
  <c r="L245" i="14"/>
  <c r="K245" i="14"/>
  <c r="J245" i="14"/>
  <c r="I245" i="14"/>
  <c r="H245" i="14"/>
  <c r="G245" i="14"/>
  <c r="F245" i="14"/>
  <c r="E245" i="14"/>
  <c r="D245" i="14"/>
  <c r="O245" i="14" s="1"/>
  <c r="C245" i="14"/>
  <c r="B245" i="14"/>
  <c r="A245" i="14"/>
  <c r="N244" i="14"/>
  <c r="M244" i="14"/>
  <c r="L244" i="14"/>
  <c r="K244" i="14"/>
  <c r="J244" i="14"/>
  <c r="I244" i="14"/>
  <c r="H244" i="14"/>
  <c r="G244" i="14"/>
  <c r="O244" i="14" s="1"/>
  <c r="F244" i="14"/>
  <c r="E244" i="14"/>
  <c r="D244" i="14"/>
  <c r="C244" i="14"/>
  <c r="B244" i="14"/>
  <c r="A244" i="14"/>
  <c r="N243" i="14"/>
  <c r="M243" i="14"/>
  <c r="L243" i="14"/>
  <c r="K243" i="14"/>
  <c r="J243" i="14"/>
  <c r="I243" i="14"/>
  <c r="H243" i="14"/>
  <c r="G243" i="14"/>
  <c r="F243" i="14"/>
  <c r="O243" i="14" s="1"/>
  <c r="E243" i="14"/>
  <c r="D243" i="14"/>
  <c r="C243" i="14"/>
  <c r="B243" i="14"/>
  <c r="A243" i="14"/>
  <c r="N242" i="14"/>
  <c r="M242" i="14"/>
  <c r="L242" i="14"/>
  <c r="K242" i="14"/>
  <c r="J242" i="14"/>
  <c r="I242" i="14"/>
  <c r="H242" i="14"/>
  <c r="G242" i="14"/>
  <c r="F242" i="14"/>
  <c r="E242" i="14"/>
  <c r="D242" i="14"/>
  <c r="O242" i="14" s="1"/>
  <c r="C242" i="14"/>
  <c r="B242" i="14"/>
  <c r="A242" i="14"/>
  <c r="N241" i="14"/>
  <c r="M241" i="14"/>
  <c r="L241" i="14"/>
  <c r="K241" i="14"/>
  <c r="J241" i="14"/>
  <c r="I241" i="14"/>
  <c r="H241" i="14"/>
  <c r="G241" i="14"/>
  <c r="F241" i="14"/>
  <c r="E241" i="14"/>
  <c r="D241" i="14"/>
  <c r="O241" i="14" s="1"/>
  <c r="C241" i="14"/>
  <c r="B241" i="14"/>
  <c r="A241" i="14"/>
  <c r="N240" i="14"/>
  <c r="M240" i="14"/>
  <c r="L240" i="14"/>
  <c r="K240" i="14"/>
  <c r="J240" i="14"/>
  <c r="I240" i="14"/>
  <c r="H240" i="14"/>
  <c r="G240" i="14"/>
  <c r="O240" i="14" s="1"/>
  <c r="F240" i="14"/>
  <c r="E240" i="14"/>
  <c r="D240" i="14"/>
  <c r="C240" i="14"/>
  <c r="B240" i="14"/>
  <c r="A240" i="14"/>
  <c r="N239" i="14"/>
  <c r="M239" i="14"/>
  <c r="L239" i="14"/>
  <c r="K239" i="14"/>
  <c r="J239" i="14"/>
  <c r="I239" i="14"/>
  <c r="H239" i="14"/>
  <c r="G239" i="14"/>
  <c r="F239" i="14"/>
  <c r="O239" i="14" s="1"/>
  <c r="E239" i="14"/>
  <c r="D239" i="14"/>
  <c r="C239" i="14"/>
  <c r="B239" i="14"/>
  <c r="A239" i="14"/>
  <c r="N238" i="14"/>
  <c r="M238" i="14"/>
  <c r="L238" i="14"/>
  <c r="K238" i="14"/>
  <c r="J238" i="14"/>
  <c r="I238" i="14"/>
  <c r="H238" i="14"/>
  <c r="G238" i="14"/>
  <c r="F238" i="14"/>
  <c r="E238" i="14"/>
  <c r="O238" i="14" s="1"/>
  <c r="D238" i="14"/>
  <c r="C238" i="14"/>
  <c r="B238" i="14"/>
  <c r="A238" i="14"/>
  <c r="N237" i="14"/>
  <c r="M237" i="14"/>
  <c r="L237" i="14"/>
  <c r="K237" i="14"/>
  <c r="J237" i="14"/>
  <c r="I237" i="14"/>
  <c r="H237" i="14"/>
  <c r="G237" i="14"/>
  <c r="F237" i="14"/>
  <c r="E237" i="14"/>
  <c r="D237" i="14"/>
  <c r="O237" i="14" s="1"/>
  <c r="C237" i="14"/>
  <c r="B237" i="14"/>
  <c r="A237" i="14"/>
  <c r="N236" i="14"/>
  <c r="M236" i="14"/>
  <c r="L236" i="14"/>
  <c r="K236" i="14"/>
  <c r="J236" i="14"/>
  <c r="I236" i="14"/>
  <c r="H236" i="14"/>
  <c r="G236" i="14"/>
  <c r="O236" i="14" s="1"/>
  <c r="F236" i="14"/>
  <c r="E236" i="14"/>
  <c r="D236" i="14"/>
  <c r="C236" i="14"/>
  <c r="B236" i="14"/>
  <c r="A236" i="14"/>
  <c r="N235" i="14"/>
  <c r="M235" i="14"/>
  <c r="L235" i="14"/>
  <c r="K235" i="14"/>
  <c r="J235" i="14"/>
  <c r="I235" i="14"/>
  <c r="H235" i="14"/>
  <c r="G235" i="14"/>
  <c r="F235" i="14"/>
  <c r="O235" i="14" s="1"/>
  <c r="E235" i="14"/>
  <c r="D235" i="14"/>
  <c r="C235" i="14"/>
  <c r="B235" i="14"/>
  <c r="A235" i="14"/>
  <c r="N234" i="14"/>
  <c r="M234" i="14"/>
  <c r="L234" i="14"/>
  <c r="K234" i="14"/>
  <c r="J234" i="14"/>
  <c r="I234" i="14"/>
  <c r="H234" i="14"/>
  <c r="G234" i="14"/>
  <c r="F234" i="14"/>
  <c r="E234" i="14"/>
  <c r="D234" i="14"/>
  <c r="O234" i="14" s="1"/>
  <c r="C234" i="14"/>
  <c r="B234" i="14"/>
  <c r="A234" i="14"/>
  <c r="N233" i="14"/>
  <c r="M233" i="14"/>
  <c r="L233" i="14"/>
  <c r="K233" i="14"/>
  <c r="J233" i="14"/>
  <c r="I233" i="14"/>
  <c r="H233" i="14"/>
  <c r="G233" i="14"/>
  <c r="F233" i="14"/>
  <c r="E233" i="14"/>
  <c r="D233" i="14"/>
  <c r="O233" i="14" s="1"/>
  <c r="C233" i="14"/>
  <c r="B233" i="14"/>
  <c r="A233" i="14"/>
  <c r="N232" i="14"/>
  <c r="M232" i="14"/>
  <c r="L232" i="14"/>
  <c r="K232" i="14"/>
  <c r="J232" i="14"/>
  <c r="I232" i="14"/>
  <c r="H232" i="14"/>
  <c r="G232" i="14"/>
  <c r="O232" i="14" s="1"/>
  <c r="F232" i="14"/>
  <c r="E232" i="14"/>
  <c r="D232" i="14"/>
  <c r="C232" i="14"/>
  <c r="B232" i="14"/>
  <c r="A232" i="14"/>
  <c r="N231" i="14"/>
  <c r="M231" i="14"/>
  <c r="L231" i="14"/>
  <c r="K231" i="14"/>
  <c r="J231" i="14"/>
  <c r="I231" i="14"/>
  <c r="H231" i="14"/>
  <c r="G231" i="14"/>
  <c r="F231" i="14"/>
  <c r="O231" i="14" s="1"/>
  <c r="E231" i="14"/>
  <c r="D231" i="14"/>
  <c r="C231" i="14"/>
  <c r="B231" i="14"/>
  <c r="A231" i="14"/>
  <c r="N230" i="14"/>
  <c r="M230" i="14"/>
  <c r="L230" i="14"/>
  <c r="K230" i="14"/>
  <c r="J230" i="14"/>
  <c r="I230" i="14"/>
  <c r="H230" i="14"/>
  <c r="G230" i="14"/>
  <c r="F230" i="14"/>
  <c r="E230" i="14"/>
  <c r="O230" i="14" s="1"/>
  <c r="D230" i="14"/>
  <c r="C230" i="14"/>
  <c r="B230" i="14"/>
  <c r="A230" i="14"/>
  <c r="N229" i="14"/>
  <c r="M229" i="14"/>
  <c r="L229" i="14"/>
  <c r="K229" i="14"/>
  <c r="J229" i="14"/>
  <c r="I229" i="14"/>
  <c r="H229" i="14"/>
  <c r="G229" i="14"/>
  <c r="F229" i="14"/>
  <c r="E229" i="14"/>
  <c r="D229" i="14"/>
  <c r="O229" i="14" s="1"/>
  <c r="C229" i="14"/>
  <c r="B229" i="14"/>
  <c r="A229" i="14"/>
  <c r="N228" i="14"/>
  <c r="M228" i="14"/>
  <c r="L228" i="14"/>
  <c r="K228" i="14"/>
  <c r="J228" i="14"/>
  <c r="I228" i="14"/>
  <c r="H228" i="14"/>
  <c r="G228" i="14"/>
  <c r="O228" i="14" s="1"/>
  <c r="F228" i="14"/>
  <c r="E228" i="14"/>
  <c r="D228" i="14"/>
  <c r="C228" i="14"/>
  <c r="B228" i="14"/>
  <c r="A228" i="14"/>
  <c r="N227" i="14"/>
  <c r="M227" i="14"/>
  <c r="L227" i="14"/>
  <c r="K227" i="14"/>
  <c r="J227" i="14"/>
  <c r="I227" i="14"/>
  <c r="H227" i="14"/>
  <c r="G227" i="14"/>
  <c r="F227" i="14"/>
  <c r="O227" i="14" s="1"/>
  <c r="E227" i="14"/>
  <c r="D227" i="14"/>
  <c r="C227" i="14"/>
  <c r="B227" i="14"/>
  <c r="A227" i="14"/>
  <c r="N226" i="14"/>
  <c r="M226" i="14"/>
  <c r="L226" i="14"/>
  <c r="K226" i="14"/>
  <c r="J226" i="14"/>
  <c r="I226" i="14"/>
  <c r="H226" i="14"/>
  <c r="G226" i="14"/>
  <c r="F226" i="14"/>
  <c r="E226" i="14"/>
  <c r="D226" i="14"/>
  <c r="O226" i="14" s="1"/>
  <c r="C226" i="14"/>
  <c r="B226" i="14"/>
  <c r="A226" i="14"/>
  <c r="N225" i="14"/>
  <c r="M225" i="14"/>
  <c r="L225" i="14"/>
  <c r="K225" i="14"/>
  <c r="J225" i="14"/>
  <c r="I225" i="14"/>
  <c r="H225" i="14"/>
  <c r="G225" i="14"/>
  <c r="F225" i="14"/>
  <c r="E225" i="14"/>
  <c r="D225" i="14"/>
  <c r="O225" i="14" s="1"/>
  <c r="C225" i="14"/>
  <c r="B225" i="14"/>
  <c r="A225" i="14"/>
  <c r="N224" i="14"/>
  <c r="M224" i="14"/>
  <c r="L224" i="14"/>
  <c r="K224" i="14"/>
  <c r="J224" i="14"/>
  <c r="I224" i="14"/>
  <c r="H224" i="14"/>
  <c r="G224" i="14"/>
  <c r="O224" i="14" s="1"/>
  <c r="F224" i="14"/>
  <c r="E224" i="14"/>
  <c r="D224" i="14"/>
  <c r="C224" i="14"/>
  <c r="B224" i="14"/>
  <c r="A224" i="14"/>
  <c r="N223" i="14"/>
  <c r="M223" i="14"/>
  <c r="L223" i="14"/>
  <c r="K223" i="14"/>
  <c r="J223" i="14"/>
  <c r="I223" i="14"/>
  <c r="H223" i="14"/>
  <c r="G223" i="14"/>
  <c r="F223" i="14"/>
  <c r="O223" i="14" s="1"/>
  <c r="E223" i="14"/>
  <c r="D223" i="14"/>
  <c r="C223" i="14"/>
  <c r="B223" i="14"/>
  <c r="A223" i="14"/>
  <c r="N222" i="14"/>
  <c r="M222" i="14"/>
  <c r="L222" i="14"/>
  <c r="K222" i="14"/>
  <c r="J222" i="14"/>
  <c r="I222" i="14"/>
  <c r="H222" i="14"/>
  <c r="G222" i="14"/>
  <c r="F222" i="14"/>
  <c r="E222" i="14"/>
  <c r="O222" i="14" s="1"/>
  <c r="D222" i="14"/>
  <c r="C222" i="14"/>
  <c r="B222" i="14"/>
  <c r="A222" i="14"/>
  <c r="N221" i="14"/>
  <c r="M221" i="14"/>
  <c r="L221" i="14"/>
  <c r="K221" i="14"/>
  <c r="J221" i="14"/>
  <c r="I221" i="14"/>
  <c r="H221" i="14"/>
  <c r="G221" i="14"/>
  <c r="F221" i="14"/>
  <c r="E221" i="14"/>
  <c r="D221" i="14"/>
  <c r="O221" i="14" s="1"/>
  <c r="C221" i="14"/>
  <c r="B221" i="14"/>
  <c r="A221" i="14"/>
  <c r="N220" i="14"/>
  <c r="M220" i="14"/>
  <c r="L220" i="14"/>
  <c r="K220" i="14"/>
  <c r="J220" i="14"/>
  <c r="I220" i="14"/>
  <c r="H220" i="14"/>
  <c r="G220" i="14"/>
  <c r="O220" i="14" s="1"/>
  <c r="F220" i="14"/>
  <c r="E220" i="14"/>
  <c r="D220" i="14"/>
  <c r="C220" i="14"/>
  <c r="B220" i="14"/>
  <c r="A220" i="14"/>
  <c r="N219" i="14"/>
  <c r="M219" i="14"/>
  <c r="L219" i="14"/>
  <c r="K219" i="14"/>
  <c r="J219" i="14"/>
  <c r="I219" i="14"/>
  <c r="H219" i="14"/>
  <c r="G219" i="14"/>
  <c r="F219" i="14"/>
  <c r="O219" i="14" s="1"/>
  <c r="E219" i="14"/>
  <c r="D219" i="14"/>
  <c r="C219" i="14"/>
  <c r="B219" i="14"/>
  <c r="A219" i="14"/>
  <c r="N218" i="14"/>
  <c r="M218" i="14"/>
  <c r="L218" i="14"/>
  <c r="K218" i="14"/>
  <c r="J218" i="14"/>
  <c r="I218" i="14"/>
  <c r="H218" i="14"/>
  <c r="G218" i="14"/>
  <c r="F218" i="14"/>
  <c r="E218" i="14"/>
  <c r="D218" i="14"/>
  <c r="O218" i="14" s="1"/>
  <c r="C218" i="14"/>
  <c r="B218" i="14"/>
  <c r="A218" i="14"/>
  <c r="N217" i="14"/>
  <c r="M217" i="14"/>
  <c r="L217" i="14"/>
  <c r="K217" i="14"/>
  <c r="J217" i="14"/>
  <c r="I217" i="14"/>
  <c r="H217" i="14"/>
  <c r="G217" i="14"/>
  <c r="F217" i="14"/>
  <c r="E217" i="14"/>
  <c r="D217" i="14"/>
  <c r="O217" i="14" s="1"/>
  <c r="C217" i="14"/>
  <c r="B217" i="14"/>
  <c r="A217" i="14"/>
  <c r="N216" i="14"/>
  <c r="M216" i="14"/>
  <c r="L216" i="14"/>
  <c r="K216" i="14"/>
  <c r="J216" i="14"/>
  <c r="I216" i="14"/>
  <c r="H216" i="14"/>
  <c r="G216" i="14"/>
  <c r="O216" i="14" s="1"/>
  <c r="F216" i="14"/>
  <c r="E216" i="14"/>
  <c r="D216" i="14"/>
  <c r="C216" i="14"/>
  <c r="B216" i="14"/>
  <c r="A216" i="14"/>
  <c r="N215" i="14"/>
  <c r="M215" i="14"/>
  <c r="L215" i="14"/>
  <c r="K215" i="14"/>
  <c r="J215" i="14"/>
  <c r="I215" i="14"/>
  <c r="H215" i="14"/>
  <c r="G215" i="14"/>
  <c r="F215" i="14"/>
  <c r="O215" i="14" s="1"/>
  <c r="E215" i="14"/>
  <c r="D215" i="14"/>
  <c r="C215" i="14"/>
  <c r="B215" i="14"/>
  <c r="A215" i="14"/>
  <c r="N214" i="14"/>
  <c r="M214" i="14"/>
  <c r="L214" i="14"/>
  <c r="K214" i="14"/>
  <c r="J214" i="14"/>
  <c r="I214" i="14"/>
  <c r="H214" i="14"/>
  <c r="G214" i="14"/>
  <c r="F214" i="14"/>
  <c r="E214" i="14"/>
  <c r="O214" i="14" s="1"/>
  <c r="D214" i="14"/>
  <c r="C214" i="14"/>
  <c r="B214" i="14"/>
  <c r="A214" i="14"/>
  <c r="N213" i="14"/>
  <c r="M213" i="14"/>
  <c r="L213" i="14"/>
  <c r="K213" i="14"/>
  <c r="J213" i="14"/>
  <c r="I213" i="14"/>
  <c r="H213" i="14"/>
  <c r="G213" i="14"/>
  <c r="F213" i="14"/>
  <c r="E213" i="14"/>
  <c r="D213" i="14"/>
  <c r="O213" i="14" s="1"/>
  <c r="C213" i="14"/>
  <c r="B213" i="14"/>
  <c r="A213" i="14"/>
  <c r="N212" i="14"/>
  <c r="M212" i="14"/>
  <c r="L212" i="14"/>
  <c r="K212" i="14"/>
  <c r="J212" i="14"/>
  <c r="I212" i="14"/>
  <c r="H212" i="14"/>
  <c r="G212" i="14"/>
  <c r="O212" i="14" s="1"/>
  <c r="F212" i="14"/>
  <c r="E212" i="14"/>
  <c r="D212" i="14"/>
  <c r="C212" i="14"/>
  <c r="B212" i="14"/>
  <c r="A212" i="14"/>
  <c r="N211" i="14"/>
  <c r="M211" i="14"/>
  <c r="L211" i="14"/>
  <c r="K211" i="14"/>
  <c r="J211" i="14"/>
  <c r="I211" i="14"/>
  <c r="H211" i="14"/>
  <c r="G211" i="14"/>
  <c r="F211" i="14"/>
  <c r="O211" i="14" s="1"/>
  <c r="E211" i="14"/>
  <c r="D211" i="14"/>
  <c r="C211" i="14"/>
  <c r="B211" i="14"/>
  <c r="A211" i="14"/>
  <c r="N210" i="14"/>
  <c r="M210" i="14"/>
  <c r="L210" i="14"/>
  <c r="K210" i="14"/>
  <c r="J210" i="14"/>
  <c r="I210" i="14"/>
  <c r="H210" i="14"/>
  <c r="G210" i="14"/>
  <c r="F210" i="14"/>
  <c r="E210" i="14"/>
  <c r="D210" i="14"/>
  <c r="O210" i="14" s="1"/>
  <c r="C210" i="14"/>
  <c r="B210" i="14"/>
  <c r="A210" i="14"/>
  <c r="N209" i="14"/>
  <c r="M209" i="14"/>
  <c r="L209" i="14"/>
  <c r="K209" i="14"/>
  <c r="J209" i="14"/>
  <c r="I209" i="14"/>
  <c r="H209" i="14"/>
  <c r="G209" i="14"/>
  <c r="F209" i="14"/>
  <c r="E209" i="14"/>
  <c r="D209" i="14"/>
  <c r="O209" i="14" s="1"/>
  <c r="C209" i="14"/>
  <c r="B209" i="14"/>
  <c r="A209" i="14"/>
  <c r="N208" i="14"/>
  <c r="M208" i="14"/>
  <c r="L208" i="14"/>
  <c r="K208" i="14"/>
  <c r="J208" i="14"/>
  <c r="I208" i="14"/>
  <c r="H208" i="14"/>
  <c r="G208" i="14"/>
  <c r="O208" i="14" s="1"/>
  <c r="F208" i="14"/>
  <c r="E208" i="14"/>
  <c r="D208" i="14"/>
  <c r="C208" i="14"/>
  <c r="B208" i="14"/>
  <c r="A208" i="14"/>
  <c r="N207" i="14"/>
  <c r="M207" i="14"/>
  <c r="L207" i="14"/>
  <c r="K207" i="14"/>
  <c r="J207" i="14"/>
  <c r="I207" i="14"/>
  <c r="H207" i="14"/>
  <c r="G207" i="14"/>
  <c r="F207" i="14"/>
  <c r="O207" i="14" s="1"/>
  <c r="E207" i="14"/>
  <c r="D207" i="14"/>
  <c r="C207" i="14"/>
  <c r="B207" i="14"/>
  <c r="A207" i="14"/>
  <c r="N206" i="14"/>
  <c r="M206" i="14"/>
  <c r="L206" i="14"/>
  <c r="K206" i="14"/>
  <c r="J206" i="14"/>
  <c r="I206" i="14"/>
  <c r="H206" i="14"/>
  <c r="G206" i="14"/>
  <c r="F206" i="14"/>
  <c r="E206" i="14"/>
  <c r="O206" i="14" s="1"/>
  <c r="D206" i="14"/>
  <c r="C206" i="14"/>
  <c r="B206" i="14"/>
  <c r="A206" i="14"/>
  <c r="N205" i="14"/>
  <c r="M205" i="14"/>
  <c r="L205" i="14"/>
  <c r="K205" i="14"/>
  <c r="J205" i="14"/>
  <c r="I205" i="14"/>
  <c r="H205" i="14"/>
  <c r="G205" i="14"/>
  <c r="F205" i="14"/>
  <c r="E205" i="14"/>
  <c r="D205" i="14"/>
  <c r="O205" i="14" s="1"/>
  <c r="C205" i="14"/>
  <c r="B205" i="14"/>
  <c r="A205" i="14"/>
  <c r="N204" i="14"/>
  <c r="M204" i="14"/>
  <c r="L204" i="14"/>
  <c r="K204" i="14"/>
  <c r="J204" i="14"/>
  <c r="I204" i="14"/>
  <c r="H204" i="14"/>
  <c r="G204" i="14"/>
  <c r="O204" i="14" s="1"/>
  <c r="F204" i="14"/>
  <c r="E204" i="14"/>
  <c r="D204" i="14"/>
  <c r="C204" i="14"/>
  <c r="B204" i="14"/>
  <c r="A204" i="14"/>
  <c r="N203" i="14"/>
  <c r="M203" i="14"/>
  <c r="L203" i="14"/>
  <c r="K203" i="14"/>
  <c r="J203" i="14"/>
  <c r="I203" i="14"/>
  <c r="H203" i="14"/>
  <c r="G203" i="14"/>
  <c r="F203" i="14"/>
  <c r="O203" i="14" s="1"/>
  <c r="E203" i="14"/>
  <c r="D203" i="14"/>
  <c r="C203" i="14"/>
  <c r="B203" i="14"/>
  <c r="A203" i="14"/>
  <c r="N202" i="14"/>
  <c r="M202" i="14"/>
  <c r="L202" i="14"/>
  <c r="K202" i="14"/>
  <c r="J202" i="14"/>
  <c r="I202" i="14"/>
  <c r="H202" i="14"/>
  <c r="G202" i="14"/>
  <c r="F202" i="14"/>
  <c r="E202" i="14"/>
  <c r="D202" i="14"/>
  <c r="O202" i="14" s="1"/>
  <c r="C202" i="14"/>
  <c r="B202" i="14"/>
  <c r="A202" i="14"/>
  <c r="N201" i="14"/>
  <c r="M201" i="14"/>
  <c r="L201" i="14"/>
  <c r="K201" i="14"/>
  <c r="J201" i="14"/>
  <c r="I201" i="14"/>
  <c r="H201" i="14"/>
  <c r="G201" i="14"/>
  <c r="F201" i="14"/>
  <c r="E201" i="14"/>
  <c r="D201" i="14"/>
  <c r="O201" i="14" s="1"/>
  <c r="C201" i="14"/>
  <c r="B201" i="14"/>
  <c r="A201" i="14"/>
  <c r="N200" i="14"/>
  <c r="M200" i="14"/>
  <c r="L200" i="14"/>
  <c r="K200" i="14"/>
  <c r="J200" i="14"/>
  <c r="I200" i="14"/>
  <c r="H200" i="14"/>
  <c r="G200" i="14"/>
  <c r="O200" i="14" s="1"/>
  <c r="F200" i="14"/>
  <c r="E200" i="14"/>
  <c r="D200" i="14"/>
  <c r="C200" i="14"/>
  <c r="B200" i="14"/>
  <c r="A200" i="14"/>
  <c r="N199" i="14"/>
  <c r="M199" i="14"/>
  <c r="L199" i="14"/>
  <c r="K199" i="14"/>
  <c r="J199" i="14"/>
  <c r="I199" i="14"/>
  <c r="H199" i="14"/>
  <c r="G199" i="14"/>
  <c r="F199" i="14"/>
  <c r="O199" i="14" s="1"/>
  <c r="E199" i="14"/>
  <c r="D199" i="14"/>
  <c r="C199" i="14"/>
  <c r="B199" i="14"/>
  <c r="A199" i="14"/>
  <c r="N198" i="14"/>
  <c r="M198" i="14"/>
  <c r="L198" i="14"/>
  <c r="K198" i="14"/>
  <c r="J198" i="14"/>
  <c r="I198" i="14"/>
  <c r="H198" i="14"/>
  <c r="G198" i="14"/>
  <c r="F198" i="14"/>
  <c r="E198" i="14"/>
  <c r="O198" i="14" s="1"/>
  <c r="D198" i="14"/>
  <c r="C198" i="14"/>
  <c r="B198" i="14"/>
  <c r="A198" i="14"/>
  <c r="N197" i="14"/>
  <c r="M197" i="14"/>
  <c r="L197" i="14"/>
  <c r="K197" i="14"/>
  <c r="J197" i="14"/>
  <c r="I197" i="14"/>
  <c r="H197" i="14"/>
  <c r="G197" i="14"/>
  <c r="F197" i="14"/>
  <c r="E197" i="14"/>
  <c r="D197" i="14"/>
  <c r="O197" i="14" s="1"/>
  <c r="C197" i="14"/>
  <c r="B197" i="14"/>
  <c r="A197" i="14"/>
  <c r="N196" i="14"/>
  <c r="M196" i="14"/>
  <c r="L196" i="14"/>
  <c r="K196" i="14"/>
  <c r="J196" i="14"/>
  <c r="I196" i="14"/>
  <c r="H196" i="14"/>
  <c r="G196" i="14"/>
  <c r="O196" i="14" s="1"/>
  <c r="F196" i="14"/>
  <c r="E196" i="14"/>
  <c r="D196" i="14"/>
  <c r="C196" i="14"/>
  <c r="B196" i="14"/>
  <c r="A196" i="14"/>
  <c r="N195" i="14"/>
  <c r="M195" i="14"/>
  <c r="L195" i="14"/>
  <c r="K195" i="14"/>
  <c r="J195" i="14"/>
  <c r="I195" i="14"/>
  <c r="H195" i="14"/>
  <c r="G195" i="14"/>
  <c r="F195" i="14"/>
  <c r="O195" i="14" s="1"/>
  <c r="E195" i="14"/>
  <c r="D195" i="14"/>
  <c r="C195" i="14"/>
  <c r="B195" i="14"/>
  <c r="A195" i="14"/>
  <c r="N194" i="14"/>
  <c r="M194" i="14"/>
  <c r="L194" i="14"/>
  <c r="K194" i="14"/>
  <c r="J194" i="14"/>
  <c r="I194" i="14"/>
  <c r="H194" i="14"/>
  <c r="G194" i="14"/>
  <c r="F194" i="14"/>
  <c r="E194" i="14"/>
  <c r="D194" i="14"/>
  <c r="O194" i="14" s="1"/>
  <c r="C194" i="14"/>
  <c r="B194" i="14"/>
  <c r="A194" i="14"/>
  <c r="N193" i="14"/>
  <c r="M193" i="14"/>
  <c r="L193" i="14"/>
  <c r="K193" i="14"/>
  <c r="J193" i="14"/>
  <c r="I193" i="14"/>
  <c r="H193" i="14"/>
  <c r="G193" i="14"/>
  <c r="F193" i="14"/>
  <c r="E193" i="14"/>
  <c r="D193" i="14"/>
  <c r="O193" i="14" s="1"/>
  <c r="C193" i="14"/>
  <c r="B193" i="14"/>
  <c r="A193" i="14"/>
  <c r="N192" i="14"/>
  <c r="M192" i="14"/>
  <c r="L192" i="14"/>
  <c r="K192" i="14"/>
  <c r="J192" i="14"/>
  <c r="I192" i="14"/>
  <c r="H192" i="14"/>
  <c r="G192" i="14"/>
  <c r="O192" i="14" s="1"/>
  <c r="F192" i="14"/>
  <c r="E192" i="14"/>
  <c r="D192" i="14"/>
  <c r="C192" i="14"/>
  <c r="B192" i="14"/>
  <c r="A192" i="14"/>
  <c r="N191" i="14"/>
  <c r="M191" i="14"/>
  <c r="L191" i="14"/>
  <c r="K191" i="14"/>
  <c r="J191" i="14"/>
  <c r="I191" i="14"/>
  <c r="H191" i="14"/>
  <c r="G191" i="14"/>
  <c r="F191" i="14"/>
  <c r="O191" i="14" s="1"/>
  <c r="E191" i="14"/>
  <c r="D191" i="14"/>
  <c r="C191" i="14"/>
  <c r="B191" i="14"/>
  <c r="A191" i="14"/>
  <c r="N190" i="14"/>
  <c r="M190" i="14"/>
  <c r="L190" i="14"/>
  <c r="K190" i="14"/>
  <c r="J190" i="14"/>
  <c r="I190" i="14"/>
  <c r="H190" i="14"/>
  <c r="G190" i="14"/>
  <c r="F190" i="14"/>
  <c r="E190" i="14"/>
  <c r="O190" i="14" s="1"/>
  <c r="D190" i="14"/>
  <c r="C190" i="14"/>
  <c r="B190" i="14"/>
  <c r="A190" i="14"/>
  <c r="N189" i="14"/>
  <c r="M189" i="14"/>
  <c r="L189" i="14"/>
  <c r="K189" i="14"/>
  <c r="J189" i="14"/>
  <c r="I189" i="14"/>
  <c r="H189" i="14"/>
  <c r="G189" i="14"/>
  <c r="F189" i="14"/>
  <c r="E189" i="14"/>
  <c r="D189" i="14"/>
  <c r="O189" i="14" s="1"/>
  <c r="C189" i="14"/>
  <c r="B189" i="14"/>
  <c r="A189" i="14"/>
  <c r="N188" i="14"/>
  <c r="M188" i="14"/>
  <c r="L188" i="14"/>
  <c r="K188" i="14"/>
  <c r="J188" i="14"/>
  <c r="I188" i="14"/>
  <c r="H188" i="14"/>
  <c r="G188" i="14"/>
  <c r="O188" i="14" s="1"/>
  <c r="F188" i="14"/>
  <c r="E188" i="14"/>
  <c r="D188" i="14"/>
  <c r="C188" i="14"/>
  <c r="B188" i="14"/>
  <c r="A188" i="14"/>
  <c r="N187" i="14"/>
  <c r="M187" i="14"/>
  <c r="L187" i="14"/>
  <c r="K187" i="14"/>
  <c r="J187" i="14"/>
  <c r="I187" i="14"/>
  <c r="H187" i="14"/>
  <c r="G187" i="14"/>
  <c r="F187" i="14"/>
  <c r="O187" i="14" s="1"/>
  <c r="E187" i="14"/>
  <c r="D187" i="14"/>
  <c r="C187" i="14"/>
  <c r="B187" i="14"/>
  <c r="A187" i="14"/>
  <c r="N186" i="14"/>
  <c r="M186" i="14"/>
  <c r="L186" i="14"/>
  <c r="K186" i="14"/>
  <c r="J186" i="14"/>
  <c r="I186" i="14"/>
  <c r="H186" i="14"/>
  <c r="G186" i="14"/>
  <c r="F186" i="14"/>
  <c r="E186" i="14"/>
  <c r="D186" i="14"/>
  <c r="O186" i="14" s="1"/>
  <c r="C186" i="14"/>
  <c r="B186" i="14"/>
  <c r="A186" i="14"/>
  <c r="N185" i="14"/>
  <c r="M185" i="14"/>
  <c r="L185" i="14"/>
  <c r="K185" i="14"/>
  <c r="J185" i="14"/>
  <c r="I185" i="14"/>
  <c r="H185" i="14"/>
  <c r="G185" i="14"/>
  <c r="F185" i="14"/>
  <c r="E185" i="14"/>
  <c r="D185" i="14"/>
  <c r="O185" i="14" s="1"/>
  <c r="C185" i="14"/>
  <c r="B185" i="14"/>
  <c r="A185" i="14"/>
  <c r="N184" i="14"/>
  <c r="M184" i="14"/>
  <c r="L184" i="14"/>
  <c r="K184" i="14"/>
  <c r="J184" i="14"/>
  <c r="I184" i="14"/>
  <c r="H184" i="14"/>
  <c r="G184" i="14"/>
  <c r="O184" i="14" s="1"/>
  <c r="F184" i="14"/>
  <c r="E184" i="14"/>
  <c r="D184" i="14"/>
  <c r="C184" i="14"/>
  <c r="B184" i="14"/>
  <c r="A184" i="14"/>
  <c r="N183" i="14"/>
  <c r="M183" i="14"/>
  <c r="L183" i="14"/>
  <c r="K183" i="14"/>
  <c r="J183" i="14"/>
  <c r="I183" i="14"/>
  <c r="H183" i="14"/>
  <c r="G183" i="14"/>
  <c r="F183" i="14"/>
  <c r="O183" i="14" s="1"/>
  <c r="E183" i="14"/>
  <c r="D183" i="14"/>
  <c r="C183" i="14"/>
  <c r="B183" i="14"/>
  <c r="A183" i="14"/>
  <c r="N182" i="14"/>
  <c r="M182" i="14"/>
  <c r="L182" i="14"/>
  <c r="K182" i="14"/>
  <c r="J182" i="14"/>
  <c r="I182" i="14"/>
  <c r="H182" i="14"/>
  <c r="G182" i="14"/>
  <c r="F182" i="14"/>
  <c r="E182" i="14"/>
  <c r="O182" i="14" s="1"/>
  <c r="D182" i="14"/>
  <c r="C182" i="14"/>
  <c r="B182" i="14"/>
  <c r="A182" i="14"/>
  <c r="N181" i="14"/>
  <c r="M181" i="14"/>
  <c r="L181" i="14"/>
  <c r="K181" i="14"/>
  <c r="J181" i="14"/>
  <c r="I181" i="14"/>
  <c r="H181" i="14"/>
  <c r="G181" i="14"/>
  <c r="F181" i="14"/>
  <c r="E181" i="14"/>
  <c r="D181" i="14"/>
  <c r="O181" i="14" s="1"/>
  <c r="C181" i="14"/>
  <c r="B181" i="14"/>
  <c r="A181" i="14"/>
  <c r="N180" i="14"/>
  <c r="M180" i="14"/>
  <c r="L180" i="14"/>
  <c r="K180" i="14"/>
  <c r="J180" i="14"/>
  <c r="I180" i="14"/>
  <c r="H180" i="14"/>
  <c r="G180" i="14"/>
  <c r="O180" i="14" s="1"/>
  <c r="F180" i="14"/>
  <c r="E180" i="14"/>
  <c r="D180" i="14"/>
  <c r="C180" i="14"/>
  <c r="B180" i="14"/>
  <c r="A180" i="14"/>
  <c r="N179" i="14"/>
  <c r="M179" i="14"/>
  <c r="L179" i="14"/>
  <c r="K179" i="14"/>
  <c r="J179" i="14"/>
  <c r="I179" i="14"/>
  <c r="H179" i="14"/>
  <c r="G179" i="14"/>
  <c r="F179" i="14"/>
  <c r="O179" i="14" s="1"/>
  <c r="E179" i="14"/>
  <c r="D179" i="14"/>
  <c r="C179" i="14"/>
  <c r="B179" i="14"/>
  <c r="A179" i="14"/>
  <c r="N178" i="14"/>
  <c r="M178" i="14"/>
  <c r="L178" i="14"/>
  <c r="K178" i="14"/>
  <c r="J178" i="14"/>
  <c r="I178" i="14"/>
  <c r="H178" i="14"/>
  <c r="G178" i="14"/>
  <c r="F178" i="14"/>
  <c r="E178" i="14"/>
  <c r="D178" i="14"/>
  <c r="O178" i="14" s="1"/>
  <c r="C178" i="14"/>
  <c r="B178" i="14"/>
  <c r="A178" i="14"/>
  <c r="N177" i="14"/>
  <c r="M177" i="14"/>
  <c r="L177" i="14"/>
  <c r="K177" i="14"/>
  <c r="J177" i="14"/>
  <c r="I177" i="14"/>
  <c r="H177" i="14"/>
  <c r="G177" i="14"/>
  <c r="F177" i="14"/>
  <c r="E177" i="14"/>
  <c r="D177" i="14"/>
  <c r="O177" i="14" s="1"/>
  <c r="C177" i="14"/>
  <c r="B177" i="14"/>
  <c r="A177" i="14"/>
  <c r="N176" i="14"/>
  <c r="M176" i="14"/>
  <c r="L176" i="14"/>
  <c r="K176" i="14"/>
  <c r="J176" i="14"/>
  <c r="I176" i="14"/>
  <c r="H176" i="14"/>
  <c r="G176" i="14"/>
  <c r="O176" i="14" s="1"/>
  <c r="F176" i="14"/>
  <c r="E176" i="14"/>
  <c r="D176" i="14"/>
  <c r="C176" i="14"/>
  <c r="B176" i="14"/>
  <c r="A176" i="14"/>
  <c r="N175" i="14"/>
  <c r="M175" i="14"/>
  <c r="L175" i="14"/>
  <c r="K175" i="14"/>
  <c r="J175" i="14"/>
  <c r="I175" i="14"/>
  <c r="H175" i="14"/>
  <c r="G175" i="14"/>
  <c r="F175" i="14"/>
  <c r="O175" i="14" s="1"/>
  <c r="E175" i="14"/>
  <c r="D175" i="14"/>
  <c r="C175" i="14"/>
  <c r="B175" i="14"/>
  <c r="A175" i="14"/>
  <c r="N174" i="14"/>
  <c r="M174" i="14"/>
  <c r="L174" i="14"/>
  <c r="K174" i="14"/>
  <c r="J174" i="14"/>
  <c r="I174" i="14"/>
  <c r="H174" i="14"/>
  <c r="G174" i="14"/>
  <c r="F174" i="14"/>
  <c r="E174" i="14"/>
  <c r="O174" i="14" s="1"/>
  <c r="D174" i="14"/>
  <c r="C174" i="14"/>
  <c r="B174" i="14"/>
  <c r="A174" i="14"/>
  <c r="N173" i="14"/>
  <c r="M173" i="14"/>
  <c r="L173" i="14"/>
  <c r="K173" i="14"/>
  <c r="J173" i="14"/>
  <c r="I173" i="14"/>
  <c r="H173" i="14"/>
  <c r="G173" i="14"/>
  <c r="F173" i="14"/>
  <c r="E173" i="14"/>
  <c r="D173" i="14"/>
  <c r="O173" i="14" s="1"/>
  <c r="C173" i="14"/>
  <c r="B173" i="14"/>
  <c r="A173" i="14"/>
  <c r="N172" i="14"/>
  <c r="M172" i="14"/>
  <c r="L172" i="14"/>
  <c r="K172" i="14"/>
  <c r="J172" i="14"/>
  <c r="I172" i="14"/>
  <c r="H172" i="14"/>
  <c r="G172" i="14"/>
  <c r="O172" i="14" s="1"/>
  <c r="F172" i="14"/>
  <c r="E172" i="14"/>
  <c r="D172" i="14"/>
  <c r="C172" i="14"/>
  <c r="B172" i="14"/>
  <c r="A172" i="14"/>
  <c r="N171" i="14"/>
  <c r="M171" i="14"/>
  <c r="L171" i="14"/>
  <c r="K171" i="14"/>
  <c r="J171" i="14"/>
  <c r="I171" i="14"/>
  <c r="H171" i="14"/>
  <c r="G171" i="14"/>
  <c r="F171" i="14"/>
  <c r="O171" i="14" s="1"/>
  <c r="E171" i="14"/>
  <c r="D171" i="14"/>
  <c r="C171" i="14"/>
  <c r="B171" i="14"/>
  <c r="A171" i="14"/>
  <c r="N170" i="14"/>
  <c r="M170" i="14"/>
  <c r="L170" i="14"/>
  <c r="K170" i="14"/>
  <c r="J170" i="14"/>
  <c r="I170" i="14"/>
  <c r="H170" i="14"/>
  <c r="G170" i="14"/>
  <c r="F170" i="14"/>
  <c r="E170" i="14"/>
  <c r="D170" i="14"/>
  <c r="O170" i="14" s="1"/>
  <c r="C170" i="14"/>
  <c r="B170" i="14"/>
  <c r="A170" i="14"/>
  <c r="N169" i="14"/>
  <c r="M169" i="14"/>
  <c r="L169" i="14"/>
  <c r="K169" i="14"/>
  <c r="J169" i="14"/>
  <c r="I169" i="14"/>
  <c r="H169" i="14"/>
  <c r="G169" i="14"/>
  <c r="F169" i="14"/>
  <c r="E169" i="14"/>
  <c r="D169" i="14"/>
  <c r="O169" i="14" s="1"/>
  <c r="C169" i="14"/>
  <c r="B169" i="14"/>
  <c r="A169" i="14"/>
  <c r="N168" i="14"/>
  <c r="M168" i="14"/>
  <c r="L168" i="14"/>
  <c r="K168" i="14"/>
  <c r="J168" i="14"/>
  <c r="I168" i="14"/>
  <c r="H168" i="14"/>
  <c r="G168" i="14"/>
  <c r="O168" i="14" s="1"/>
  <c r="F168" i="14"/>
  <c r="E168" i="14"/>
  <c r="D168" i="14"/>
  <c r="C168" i="14"/>
  <c r="B168" i="14"/>
  <c r="A168" i="14"/>
  <c r="N167" i="14"/>
  <c r="M167" i="14"/>
  <c r="L167" i="14"/>
  <c r="K167" i="14"/>
  <c r="J167" i="14"/>
  <c r="I167" i="14"/>
  <c r="H167" i="14"/>
  <c r="G167" i="14"/>
  <c r="F167" i="14"/>
  <c r="O167" i="14" s="1"/>
  <c r="E167" i="14"/>
  <c r="D167" i="14"/>
  <c r="C167" i="14"/>
  <c r="B167" i="14"/>
  <c r="A167" i="14"/>
  <c r="N166" i="14"/>
  <c r="M166" i="14"/>
  <c r="L166" i="14"/>
  <c r="K166" i="14"/>
  <c r="J166" i="14"/>
  <c r="I166" i="14"/>
  <c r="H166" i="14"/>
  <c r="G166" i="14"/>
  <c r="F166" i="14"/>
  <c r="E166" i="14"/>
  <c r="O166" i="14" s="1"/>
  <c r="D166" i="14"/>
  <c r="C166" i="14"/>
  <c r="B166" i="14"/>
  <c r="A166" i="14"/>
  <c r="N165" i="14"/>
  <c r="M165" i="14"/>
  <c r="L165" i="14"/>
  <c r="K165" i="14"/>
  <c r="J165" i="14"/>
  <c r="I165" i="14"/>
  <c r="H165" i="14"/>
  <c r="G165" i="14"/>
  <c r="F165" i="14"/>
  <c r="E165" i="14"/>
  <c r="D165" i="14"/>
  <c r="O165" i="14" s="1"/>
  <c r="C165" i="14"/>
  <c r="B165" i="14"/>
  <c r="A165" i="14"/>
  <c r="N164" i="14"/>
  <c r="M164" i="14"/>
  <c r="L164" i="14"/>
  <c r="K164" i="14"/>
  <c r="J164" i="14"/>
  <c r="I164" i="14"/>
  <c r="H164" i="14"/>
  <c r="G164" i="14"/>
  <c r="O164" i="14" s="1"/>
  <c r="F164" i="14"/>
  <c r="E164" i="14"/>
  <c r="D164" i="14"/>
  <c r="C164" i="14"/>
  <c r="B164" i="14"/>
  <c r="A164" i="14"/>
  <c r="N163" i="14"/>
  <c r="M163" i="14"/>
  <c r="L163" i="14"/>
  <c r="K163" i="14"/>
  <c r="J163" i="14"/>
  <c r="I163" i="14"/>
  <c r="H163" i="14"/>
  <c r="G163" i="14"/>
  <c r="F163" i="14"/>
  <c r="O163" i="14" s="1"/>
  <c r="E163" i="14"/>
  <c r="D163" i="14"/>
  <c r="C163" i="14"/>
  <c r="B163" i="14"/>
  <c r="A163" i="14"/>
  <c r="N162" i="14"/>
  <c r="M162" i="14"/>
  <c r="L162" i="14"/>
  <c r="K162" i="14"/>
  <c r="J162" i="14"/>
  <c r="I162" i="14"/>
  <c r="H162" i="14"/>
  <c r="G162" i="14"/>
  <c r="F162" i="14"/>
  <c r="E162" i="14"/>
  <c r="D162" i="14"/>
  <c r="O162" i="14" s="1"/>
  <c r="C162" i="14"/>
  <c r="B162" i="14"/>
  <c r="A162" i="14"/>
  <c r="N161" i="14"/>
  <c r="M161" i="14"/>
  <c r="L161" i="14"/>
  <c r="K161" i="14"/>
  <c r="J161" i="14"/>
  <c r="I161" i="14"/>
  <c r="H161" i="14"/>
  <c r="G161" i="14"/>
  <c r="F161" i="14"/>
  <c r="E161" i="14"/>
  <c r="D161" i="14"/>
  <c r="O161" i="14" s="1"/>
  <c r="C161" i="14"/>
  <c r="B161" i="14"/>
  <c r="A161" i="14"/>
  <c r="N160" i="14"/>
  <c r="M160" i="14"/>
  <c r="L160" i="14"/>
  <c r="K160" i="14"/>
  <c r="J160" i="14"/>
  <c r="I160" i="14"/>
  <c r="H160" i="14"/>
  <c r="G160" i="14"/>
  <c r="O160" i="14" s="1"/>
  <c r="F160" i="14"/>
  <c r="E160" i="14"/>
  <c r="D160" i="14"/>
  <c r="C160" i="14"/>
  <c r="B160" i="14"/>
  <c r="A160" i="14"/>
  <c r="N159" i="14"/>
  <c r="M159" i="14"/>
  <c r="L159" i="14"/>
  <c r="K159" i="14"/>
  <c r="J159" i="14"/>
  <c r="I159" i="14"/>
  <c r="H159" i="14"/>
  <c r="G159" i="14"/>
  <c r="F159" i="14"/>
  <c r="O159" i="14" s="1"/>
  <c r="E159" i="14"/>
  <c r="D159" i="14"/>
  <c r="C159" i="14"/>
  <c r="B159" i="14"/>
  <c r="A159" i="14"/>
  <c r="N158" i="14"/>
  <c r="M158" i="14"/>
  <c r="L158" i="14"/>
  <c r="K158" i="14"/>
  <c r="J158" i="14"/>
  <c r="I158" i="14"/>
  <c r="H158" i="14"/>
  <c r="G158" i="14"/>
  <c r="F158" i="14"/>
  <c r="E158" i="14"/>
  <c r="O158" i="14" s="1"/>
  <c r="D158" i="14"/>
  <c r="C158" i="14"/>
  <c r="B158" i="14"/>
  <c r="A158" i="14"/>
  <c r="N157" i="14"/>
  <c r="M157" i="14"/>
  <c r="L157" i="14"/>
  <c r="K157" i="14"/>
  <c r="J157" i="14"/>
  <c r="I157" i="14"/>
  <c r="H157" i="14"/>
  <c r="G157" i="14"/>
  <c r="F157" i="14"/>
  <c r="E157" i="14"/>
  <c r="D157" i="14"/>
  <c r="O157" i="14" s="1"/>
  <c r="C157" i="14"/>
  <c r="B157" i="14"/>
  <c r="A157" i="14"/>
  <c r="N156" i="14"/>
  <c r="M156" i="14"/>
  <c r="L156" i="14"/>
  <c r="K156" i="14"/>
  <c r="J156" i="14"/>
  <c r="I156" i="14"/>
  <c r="H156" i="14"/>
  <c r="G156" i="14"/>
  <c r="O156" i="14" s="1"/>
  <c r="F156" i="14"/>
  <c r="E156" i="14"/>
  <c r="D156" i="14"/>
  <c r="C156" i="14"/>
  <c r="B156" i="14"/>
  <c r="A156" i="14"/>
  <c r="N155" i="14"/>
  <c r="M155" i="14"/>
  <c r="L155" i="14"/>
  <c r="K155" i="14"/>
  <c r="J155" i="14"/>
  <c r="I155" i="14"/>
  <c r="H155" i="14"/>
  <c r="G155" i="14"/>
  <c r="F155" i="14"/>
  <c r="O155" i="14" s="1"/>
  <c r="E155" i="14"/>
  <c r="D155" i="14"/>
  <c r="C155" i="14"/>
  <c r="B155" i="14"/>
  <c r="A155" i="14"/>
  <c r="N154" i="14"/>
  <c r="M154" i="14"/>
  <c r="L154" i="14"/>
  <c r="K154" i="14"/>
  <c r="J154" i="14"/>
  <c r="I154" i="14"/>
  <c r="H154" i="14"/>
  <c r="G154" i="14"/>
  <c r="F154" i="14"/>
  <c r="E154" i="14"/>
  <c r="D154" i="14"/>
  <c r="O154" i="14" s="1"/>
  <c r="C154" i="14"/>
  <c r="B154" i="14"/>
  <c r="A154" i="14"/>
  <c r="N153" i="14"/>
  <c r="M153" i="14"/>
  <c r="L153" i="14"/>
  <c r="K153" i="14"/>
  <c r="J153" i="14"/>
  <c r="I153" i="14"/>
  <c r="H153" i="14"/>
  <c r="G153" i="14"/>
  <c r="F153" i="14"/>
  <c r="E153" i="14"/>
  <c r="D153" i="14"/>
  <c r="O153" i="14" s="1"/>
  <c r="C153" i="14"/>
  <c r="B153" i="14"/>
  <c r="A153" i="14"/>
  <c r="N152" i="14"/>
  <c r="M152" i="14"/>
  <c r="L152" i="14"/>
  <c r="K152" i="14"/>
  <c r="J152" i="14"/>
  <c r="I152" i="14"/>
  <c r="H152" i="14"/>
  <c r="G152" i="14"/>
  <c r="O152" i="14" s="1"/>
  <c r="F152" i="14"/>
  <c r="E152" i="14"/>
  <c r="D152" i="14"/>
  <c r="C152" i="14"/>
  <c r="B152" i="14"/>
  <c r="A152" i="14"/>
  <c r="N151" i="14"/>
  <c r="M151" i="14"/>
  <c r="L151" i="14"/>
  <c r="K151" i="14"/>
  <c r="J151" i="14"/>
  <c r="I151" i="14"/>
  <c r="H151" i="14"/>
  <c r="G151" i="14"/>
  <c r="F151" i="14"/>
  <c r="O151" i="14" s="1"/>
  <c r="E151" i="14"/>
  <c r="D151" i="14"/>
  <c r="C151" i="14"/>
  <c r="B151" i="14"/>
  <c r="A151" i="14"/>
  <c r="N150" i="14"/>
  <c r="M150" i="14"/>
  <c r="L150" i="14"/>
  <c r="K150" i="14"/>
  <c r="J150" i="14"/>
  <c r="I150" i="14"/>
  <c r="H150" i="14"/>
  <c r="G150" i="14"/>
  <c r="F150" i="14"/>
  <c r="E150" i="14"/>
  <c r="O150" i="14" s="1"/>
  <c r="D150" i="14"/>
  <c r="C150" i="14"/>
  <c r="B150" i="14"/>
  <c r="A150" i="14"/>
  <c r="N149" i="14"/>
  <c r="M149" i="14"/>
  <c r="L149" i="14"/>
  <c r="K149" i="14"/>
  <c r="J149" i="14"/>
  <c r="I149" i="14"/>
  <c r="H149" i="14"/>
  <c r="G149" i="14"/>
  <c r="F149" i="14"/>
  <c r="E149" i="14"/>
  <c r="D149" i="14"/>
  <c r="O149" i="14" s="1"/>
  <c r="C149" i="14"/>
  <c r="B149" i="14"/>
  <c r="A149" i="14"/>
  <c r="N148" i="14"/>
  <c r="M148" i="14"/>
  <c r="L148" i="14"/>
  <c r="K148" i="14"/>
  <c r="J148" i="14"/>
  <c r="I148" i="14"/>
  <c r="H148" i="14"/>
  <c r="G148" i="14"/>
  <c r="O148" i="14" s="1"/>
  <c r="F148" i="14"/>
  <c r="E148" i="14"/>
  <c r="D148" i="14"/>
  <c r="C148" i="14"/>
  <c r="B148" i="14"/>
  <c r="A148" i="14"/>
  <c r="N147" i="14"/>
  <c r="M147" i="14"/>
  <c r="L147" i="14"/>
  <c r="K147" i="14"/>
  <c r="J147" i="14"/>
  <c r="I147" i="14"/>
  <c r="H147" i="14"/>
  <c r="G147" i="14"/>
  <c r="F147" i="14"/>
  <c r="E147" i="14"/>
  <c r="D147" i="14"/>
  <c r="O147" i="14" s="1"/>
  <c r="C147" i="14"/>
  <c r="B147" i="14"/>
  <c r="A147" i="14"/>
  <c r="N146" i="14"/>
  <c r="M146" i="14"/>
  <c r="L146" i="14"/>
  <c r="K146" i="14"/>
  <c r="J146" i="14"/>
  <c r="I146" i="14"/>
  <c r="H146" i="14"/>
  <c r="G146" i="14"/>
  <c r="F146" i="14"/>
  <c r="E146" i="14"/>
  <c r="D146" i="14"/>
  <c r="O146" i="14" s="1"/>
  <c r="C146" i="14"/>
  <c r="B146" i="14"/>
  <c r="A146" i="14"/>
  <c r="N145" i="14"/>
  <c r="M145" i="14"/>
  <c r="L145" i="14"/>
  <c r="K145" i="14"/>
  <c r="J145" i="14"/>
  <c r="I145" i="14"/>
  <c r="H145" i="14"/>
  <c r="G145" i="14"/>
  <c r="F145" i="14"/>
  <c r="E145" i="14"/>
  <c r="D145" i="14"/>
  <c r="O145" i="14" s="1"/>
  <c r="C145" i="14"/>
  <c r="B145" i="14"/>
  <c r="A145" i="14"/>
  <c r="N144" i="14"/>
  <c r="M144" i="14"/>
  <c r="L144" i="14"/>
  <c r="K144" i="14"/>
  <c r="J144" i="14"/>
  <c r="I144" i="14"/>
  <c r="H144" i="14"/>
  <c r="G144" i="14"/>
  <c r="O144" i="14" s="1"/>
  <c r="F144" i="14"/>
  <c r="E144" i="14"/>
  <c r="D144" i="14"/>
  <c r="C144" i="14"/>
  <c r="B144" i="14"/>
  <c r="A144" i="14"/>
  <c r="N143" i="14"/>
  <c r="M143" i="14"/>
  <c r="L143" i="14"/>
  <c r="K143" i="14"/>
  <c r="J143" i="14"/>
  <c r="I143" i="14"/>
  <c r="H143" i="14"/>
  <c r="G143" i="14"/>
  <c r="F143" i="14"/>
  <c r="O143" i="14" s="1"/>
  <c r="E143" i="14"/>
  <c r="D143" i="14"/>
  <c r="C143" i="14"/>
  <c r="B143" i="14"/>
  <c r="A143" i="14"/>
  <c r="N142" i="14"/>
  <c r="M142" i="14"/>
  <c r="L142" i="14"/>
  <c r="K142" i="14"/>
  <c r="J142" i="14"/>
  <c r="I142" i="14"/>
  <c r="H142" i="14"/>
  <c r="G142" i="14"/>
  <c r="F142" i="14"/>
  <c r="E142" i="14"/>
  <c r="O142" i="14" s="1"/>
  <c r="D142" i="14"/>
  <c r="C142" i="14"/>
  <c r="B142" i="14"/>
  <c r="A142" i="14"/>
  <c r="N141" i="14"/>
  <c r="M141" i="14"/>
  <c r="L141" i="14"/>
  <c r="K141" i="14"/>
  <c r="J141" i="14"/>
  <c r="I141" i="14"/>
  <c r="H141" i="14"/>
  <c r="G141" i="14"/>
  <c r="F141" i="14"/>
  <c r="E141" i="14"/>
  <c r="D141" i="14"/>
  <c r="O141" i="14" s="1"/>
  <c r="C141" i="14"/>
  <c r="B141" i="14"/>
  <c r="A141" i="14"/>
  <c r="N140" i="14"/>
  <c r="M140" i="14"/>
  <c r="L140" i="14"/>
  <c r="K140" i="14"/>
  <c r="J140" i="14"/>
  <c r="I140" i="14"/>
  <c r="H140" i="14"/>
  <c r="G140" i="14"/>
  <c r="O140" i="14" s="1"/>
  <c r="F140" i="14"/>
  <c r="E140" i="14"/>
  <c r="D140" i="14"/>
  <c r="C140" i="14"/>
  <c r="B140" i="14"/>
  <c r="A140" i="14"/>
  <c r="N139" i="14"/>
  <c r="M139" i="14"/>
  <c r="L139" i="14"/>
  <c r="K139" i="14"/>
  <c r="J139" i="14"/>
  <c r="I139" i="14"/>
  <c r="H139" i="14"/>
  <c r="G139" i="14"/>
  <c r="F139" i="14"/>
  <c r="E139" i="14"/>
  <c r="D139" i="14"/>
  <c r="O139" i="14" s="1"/>
  <c r="C139" i="14"/>
  <c r="B139" i="14"/>
  <c r="A139" i="14"/>
  <c r="N138" i="14"/>
  <c r="M138" i="14"/>
  <c r="L138" i="14"/>
  <c r="K138" i="14"/>
  <c r="J138" i="14"/>
  <c r="I138" i="14"/>
  <c r="H138" i="14"/>
  <c r="G138" i="14"/>
  <c r="F138" i="14"/>
  <c r="E138" i="14"/>
  <c r="D138" i="14"/>
  <c r="O138" i="14" s="1"/>
  <c r="C138" i="14"/>
  <c r="B138" i="14"/>
  <c r="A138" i="14"/>
  <c r="N137" i="14"/>
  <c r="M137" i="14"/>
  <c r="L137" i="14"/>
  <c r="K137" i="14"/>
  <c r="J137" i="14"/>
  <c r="I137" i="14"/>
  <c r="H137" i="14"/>
  <c r="G137" i="14"/>
  <c r="F137" i="14"/>
  <c r="E137" i="14"/>
  <c r="D137" i="14"/>
  <c r="O137" i="14" s="1"/>
  <c r="C137" i="14"/>
  <c r="B137" i="14"/>
  <c r="A137" i="14"/>
  <c r="N136" i="14"/>
  <c r="M136" i="14"/>
  <c r="L136" i="14"/>
  <c r="K136" i="14"/>
  <c r="J136" i="14"/>
  <c r="I136" i="14"/>
  <c r="H136" i="14"/>
  <c r="G136" i="14"/>
  <c r="O136" i="14" s="1"/>
  <c r="F136" i="14"/>
  <c r="E136" i="14"/>
  <c r="D136" i="14"/>
  <c r="C136" i="14"/>
  <c r="B136" i="14"/>
  <c r="A136" i="14"/>
  <c r="N135" i="14"/>
  <c r="M135" i="14"/>
  <c r="L135" i="14"/>
  <c r="K135" i="14"/>
  <c r="J135" i="14"/>
  <c r="I135" i="14"/>
  <c r="H135" i="14"/>
  <c r="G135" i="14"/>
  <c r="F135" i="14"/>
  <c r="O135" i="14" s="1"/>
  <c r="E135" i="14"/>
  <c r="D135" i="14"/>
  <c r="C135" i="14"/>
  <c r="B135" i="14"/>
  <c r="A135" i="14"/>
  <c r="N134" i="14"/>
  <c r="M134" i="14"/>
  <c r="L134" i="14"/>
  <c r="K134" i="14"/>
  <c r="J134" i="14"/>
  <c r="I134" i="14"/>
  <c r="H134" i="14"/>
  <c r="G134" i="14"/>
  <c r="F134" i="14"/>
  <c r="E134" i="14"/>
  <c r="O134" i="14" s="1"/>
  <c r="D134" i="14"/>
  <c r="C134" i="14"/>
  <c r="B134" i="14"/>
  <c r="A134" i="14"/>
  <c r="N133" i="14"/>
  <c r="M133" i="14"/>
  <c r="L133" i="14"/>
  <c r="K133" i="14"/>
  <c r="J133" i="14"/>
  <c r="I133" i="14"/>
  <c r="H133" i="14"/>
  <c r="G133" i="14"/>
  <c r="F133" i="14"/>
  <c r="E133" i="14"/>
  <c r="D133" i="14"/>
  <c r="O133" i="14" s="1"/>
  <c r="C133" i="14"/>
  <c r="B133" i="14"/>
  <c r="A133" i="14"/>
  <c r="N132" i="14"/>
  <c r="M132" i="14"/>
  <c r="L132" i="14"/>
  <c r="K132" i="14"/>
  <c r="O132" i="14" s="1"/>
  <c r="J132" i="14"/>
  <c r="I132" i="14"/>
  <c r="H132" i="14"/>
  <c r="G132" i="14"/>
  <c r="F132" i="14"/>
  <c r="E132" i="14"/>
  <c r="D132" i="14"/>
  <c r="C132" i="14"/>
  <c r="B132" i="14"/>
  <c r="A132" i="14"/>
  <c r="N131" i="14"/>
  <c r="M131" i="14"/>
  <c r="L131" i="14"/>
  <c r="K131" i="14"/>
  <c r="J131" i="14"/>
  <c r="I131" i="14"/>
  <c r="H131" i="14"/>
  <c r="G131" i="14"/>
  <c r="F131" i="14"/>
  <c r="E131" i="14"/>
  <c r="D131" i="14"/>
  <c r="O131" i="14" s="1"/>
  <c r="C131" i="14"/>
  <c r="B131" i="14"/>
  <c r="A131" i="14"/>
  <c r="N130" i="14"/>
  <c r="M130" i="14"/>
  <c r="L130" i="14"/>
  <c r="K130" i="14"/>
  <c r="J130" i="14"/>
  <c r="I130" i="14"/>
  <c r="H130" i="14"/>
  <c r="G130" i="14"/>
  <c r="F130" i="14"/>
  <c r="E130" i="14"/>
  <c r="D130" i="14"/>
  <c r="O130" i="14" s="1"/>
  <c r="C130" i="14"/>
  <c r="B130" i="14"/>
  <c r="A130" i="14"/>
  <c r="N129" i="14"/>
  <c r="M129" i="14"/>
  <c r="L129" i="14"/>
  <c r="K129" i="14"/>
  <c r="J129" i="14"/>
  <c r="I129" i="14"/>
  <c r="H129" i="14"/>
  <c r="G129" i="14"/>
  <c r="F129" i="14"/>
  <c r="E129" i="14"/>
  <c r="D129" i="14"/>
  <c r="O129" i="14" s="1"/>
  <c r="C129" i="14"/>
  <c r="B129" i="14"/>
  <c r="A129" i="14"/>
  <c r="N128" i="14"/>
  <c r="M128" i="14"/>
  <c r="L128" i="14"/>
  <c r="K128" i="14"/>
  <c r="J128" i="14"/>
  <c r="I128" i="14"/>
  <c r="H128" i="14"/>
  <c r="G128" i="14"/>
  <c r="O128" i="14" s="1"/>
  <c r="F128" i="14"/>
  <c r="E128" i="14"/>
  <c r="D128" i="14"/>
  <c r="C128" i="14"/>
  <c r="B128" i="14"/>
  <c r="A128" i="14"/>
  <c r="N127" i="14"/>
  <c r="M127" i="14"/>
  <c r="L127" i="14"/>
  <c r="K127" i="14"/>
  <c r="J127" i="14"/>
  <c r="I127" i="14"/>
  <c r="H127" i="14"/>
  <c r="G127" i="14"/>
  <c r="F127" i="14"/>
  <c r="O127" i="14" s="1"/>
  <c r="E127" i="14"/>
  <c r="D127" i="14"/>
  <c r="C127" i="14"/>
  <c r="B127" i="14"/>
  <c r="A127" i="14"/>
  <c r="N126" i="14"/>
  <c r="M126" i="14"/>
  <c r="L126" i="14"/>
  <c r="K126" i="14"/>
  <c r="J126" i="14"/>
  <c r="I126" i="14"/>
  <c r="H126" i="14"/>
  <c r="G126" i="14"/>
  <c r="F126" i="14"/>
  <c r="E126" i="14"/>
  <c r="O126" i="14" s="1"/>
  <c r="D126" i="14"/>
  <c r="C126" i="14"/>
  <c r="B126" i="14"/>
  <c r="A126" i="14"/>
  <c r="N125" i="14"/>
  <c r="M125" i="14"/>
  <c r="L125" i="14"/>
  <c r="K125" i="14"/>
  <c r="J125" i="14"/>
  <c r="I125" i="14"/>
  <c r="H125" i="14"/>
  <c r="G125" i="14"/>
  <c r="F125" i="14"/>
  <c r="E125" i="14"/>
  <c r="D125" i="14"/>
  <c r="O125" i="14" s="1"/>
  <c r="C125" i="14"/>
  <c r="B125" i="14"/>
  <c r="A125" i="14"/>
  <c r="N124" i="14"/>
  <c r="M124" i="14"/>
  <c r="L124" i="14"/>
  <c r="K124" i="14"/>
  <c r="O124" i="14" s="1"/>
  <c r="J124" i="14"/>
  <c r="I124" i="14"/>
  <c r="H124" i="14"/>
  <c r="G124" i="14"/>
  <c r="F124" i="14"/>
  <c r="E124" i="14"/>
  <c r="D124" i="14"/>
  <c r="C124" i="14"/>
  <c r="B124" i="14"/>
  <c r="A124" i="14"/>
  <c r="N123" i="14"/>
  <c r="M123" i="14"/>
  <c r="L123" i="14"/>
  <c r="K123" i="14"/>
  <c r="J123" i="14"/>
  <c r="I123" i="14"/>
  <c r="H123" i="14"/>
  <c r="G123" i="14"/>
  <c r="F123" i="14"/>
  <c r="E123" i="14"/>
  <c r="D123" i="14"/>
  <c r="O123" i="14" s="1"/>
  <c r="C123" i="14"/>
  <c r="B123" i="14"/>
  <c r="A123" i="14"/>
  <c r="N122" i="14"/>
  <c r="M122" i="14"/>
  <c r="L122" i="14"/>
  <c r="K122" i="14"/>
  <c r="J122" i="14"/>
  <c r="I122" i="14"/>
  <c r="H122" i="14"/>
  <c r="G122" i="14"/>
  <c r="F122" i="14"/>
  <c r="E122" i="14"/>
  <c r="D122" i="14"/>
  <c r="O122" i="14" s="1"/>
  <c r="C122" i="14"/>
  <c r="B122" i="14"/>
  <c r="A122" i="14"/>
  <c r="N121" i="14"/>
  <c r="M121" i="14"/>
  <c r="L121" i="14"/>
  <c r="K121" i="14"/>
  <c r="J121" i="14"/>
  <c r="I121" i="14"/>
  <c r="H121" i="14"/>
  <c r="G121" i="14"/>
  <c r="F121" i="14"/>
  <c r="E121" i="14"/>
  <c r="D121" i="14"/>
  <c r="O121" i="14" s="1"/>
  <c r="C121" i="14"/>
  <c r="B121" i="14"/>
  <c r="A121" i="14"/>
  <c r="N120" i="14"/>
  <c r="M120" i="14"/>
  <c r="L120" i="14"/>
  <c r="K120" i="14"/>
  <c r="J120" i="14"/>
  <c r="I120" i="14"/>
  <c r="H120" i="14"/>
  <c r="G120" i="14"/>
  <c r="O120" i="14" s="1"/>
  <c r="F120" i="14"/>
  <c r="E120" i="14"/>
  <c r="D120" i="14"/>
  <c r="C120" i="14"/>
  <c r="B120" i="14"/>
  <c r="A120" i="14"/>
  <c r="N119" i="14"/>
  <c r="M119" i="14"/>
  <c r="L119" i="14"/>
  <c r="K119" i="14"/>
  <c r="J119" i="14"/>
  <c r="I119" i="14"/>
  <c r="H119" i="14"/>
  <c r="G119" i="14"/>
  <c r="F119" i="14"/>
  <c r="O119" i="14" s="1"/>
  <c r="E119" i="14"/>
  <c r="D119" i="14"/>
  <c r="C119" i="14"/>
  <c r="B119" i="14"/>
  <c r="A119" i="14"/>
  <c r="N118" i="14"/>
  <c r="M118" i="14"/>
  <c r="L118" i="14"/>
  <c r="K118" i="14"/>
  <c r="J118" i="14"/>
  <c r="I118" i="14"/>
  <c r="H118" i="14"/>
  <c r="G118" i="14"/>
  <c r="F118" i="14"/>
  <c r="E118" i="14"/>
  <c r="O118" i="14" s="1"/>
  <c r="D118" i="14"/>
  <c r="C118" i="14"/>
  <c r="B118" i="14"/>
  <c r="A118" i="14"/>
  <c r="N117" i="14"/>
  <c r="M117" i="14"/>
  <c r="L117" i="14"/>
  <c r="K117" i="14"/>
  <c r="J117" i="14"/>
  <c r="I117" i="14"/>
  <c r="H117" i="14"/>
  <c r="G117" i="14"/>
  <c r="F117" i="14"/>
  <c r="E117" i="14"/>
  <c r="D117" i="14"/>
  <c r="O117" i="14" s="1"/>
  <c r="C117" i="14"/>
  <c r="B117" i="14"/>
  <c r="A117" i="14"/>
  <c r="N116" i="14"/>
  <c r="M116" i="14"/>
  <c r="L116" i="14"/>
  <c r="K116" i="14"/>
  <c r="J116" i="14"/>
  <c r="I116" i="14"/>
  <c r="H116" i="14"/>
  <c r="G116" i="14"/>
  <c r="O116" i="14" s="1"/>
  <c r="F116" i="14"/>
  <c r="E116" i="14"/>
  <c r="D116" i="14"/>
  <c r="C116" i="14"/>
  <c r="B116" i="14"/>
  <c r="A116" i="14"/>
  <c r="N115" i="14"/>
  <c r="M115" i="14"/>
  <c r="L115" i="14"/>
  <c r="K115" i="14"/>
  <c r="J115" i="14"/>
  <c r="I115" i="14"/>
  <c r="H115" i="14"/>
  <c r="G115" i="14"/>
  <c r="F115" i="14"/>
  <c r="E115" i="14"/>
  <c r="D115" i="14"/>
  <c r="O115" i="14" s="1"/>
  <c r="C115" i="14"/>
  <c r="B115" i="14"/>
  <c r="A115" i="14"/>
  <c r="N114" i="14"/>
  <c r="M114" i="14"/>
  <c r="L114" i="14"/>
  <c r="K114" i="14"/>
  <c r="J114" i="14"/>
  <c r="I114" i="14"/>
  <c r="H114" i="14"/>
  <c r="G114" i="14"/>
  <c r="F114" i="14"/>
  <c r="E114" i="14"/>
  <c r="D114" i="14"/>
  <c r="O114" i="14" s="1"/>
  <c r="C114" i="14"/>
  <c r="B114" i="14"/>
  <c r="A114" i="14"/>
  <c r="N113" i="14"/>
  <c r="M113" i="14"/>
  <c r="L113" i="14"/>
  <c r="K113" i="14"/>
  <c r="J113" i="14"/>
  <c r="I113" i="14"/>
  <c r="H113" i="14"/>
  <c r="G113" i="14"/>
  <c r="F113" i="14"/>
  <c r="E113" i="14"/>
  <c r="D113" i="14"/>
  <c r="O113" i="14" s="1"/>
  <c r="C113" i="14"/>
  <c r="B113" i="14"/>
  <c r="A113" i="14"/>
  <c r="N112" i="14"/>
  <c r="M112" i="14"/>
  <c r="L112" i="14"/>
  <c r="K112" i="14"/>
  <c r="J112" i="14"/>
  <c r="I112" i="14"/>
  <c r="H112" i="14"/>
  <c r="G112" i="14"/>
  <c r="O112" i="14" s="1"/>
  <c r="F112" i="14"/>
  <c r="E112" i="14"/>
  <c r="D112" i="14"/>
  <c r="C112" i="14"/>
  <c r="B112" i="14"/>
  <c r="A112" i="14"/>
  <c r="N111" i="14"/>
  <c r="M111" i="14"/>
  <c r="L111" i="14"/>
  <c r="K111" i="14"/>
  <c r="J111" i="14"/>
  <c r="I111" i="14"/>
  <c r="H111" i="14"/>
  <c r="G111" i="14"/>
  <c r="F111" i="14"/>
  <c r="O111" i="14" s="1"/>
  <c r="E111" i="14"/>
  <c r="D111" i="14"/>
  <c r="C111" i="14"/>
  <c r="B111" i="14"/>
  <c r="A111" i="14"/>
  <c r="N110" i="14"/>
  <c r="M110" i="14"/>
  <c r="L110" i="14"/>
  <c r="K110" i="14"/>
  <c r="J110" i="14"/>
  <c r="I110" i="14"/>
  <c r="H110" i="14"/>
  <c r="G110" i="14"/>
  <c r="F110" i="14"/>
  <c r="E110" i="14"/>
  <c r="O110" i="14" s="1"/>
  <c r="D110" i="14"/>
  <c r="C110" i="14"/>
  <c r="B110" i="14"/>
  <c r="A110" i="14"/>
  <c r="N109" i="14"/>
  <c r="M109" i="14"/>
  <c r="L109" i="14"/>
  <c r="K109" i="14"/>
  <c r="J109" i="14"/>
  <c r="I109" i="14"/>
  <c r="H109" i="14"/>
  <c r="G109" i="14"/>
  <c r="F109" i="14"/>
  <c r="E109" i="14"/>
  <c r="D109" i="14"/>
  <c r="O109" i="14" s="1"/>
  <c r="C109" i="14"/>
  <c r="B109" i="14"/>
  <c r="A109" i="14"/>
  <c r="N108" i="14"/>
  <c r="M108" i="14"/>
  <c r="L108" i="14"/>
  <c r="K108" i="14"/>
  <c r="J108" i="14"/>
  <c r="I108" i="14"/>
  <c r="H108" i="14"/>
  <c r="G108" i="14"/>
  <c r="O108" i="14" s="1"/>
  <c r="F108" i="14"/>
  <c r="E108" i="14"/>
  <c r="D108" i="14"/>
  <c r="C108" i="14"/>
  <c r="B108" i="14"/>
  <c r="A108" i="14"/>
  <c r="N107" i="14"/>
  <c r="M107" i="14"/>
  <c r="L107" i="14"/>
  <c r="K107" i="14"/>
  <c r="J107" i="14"/>
  <c r="I107" i="14"/>
  <c r="H107" i="14"/>
  <c r="G107" i="14"/>
  <c r="F107" i="14"/>
  <c r="E107" i="14"/>
  <c r="D107" i="14"/>
  <c r="O107" i="14" s="1"/>
  <c r="C107" i="14"/>
  <c r="B107" i="14"/>
  <c r="A107" i="14"/>
  <c r="N106" i="14"/>
  <c r="M106" i="14"/>
  <c r="L106" i="14"/>
  <c r="K106" i="14"/>
  <c r="J106" i="14"/>
  <c r="I106" i="14"/>
  <c r="H106" i="14"/>
  <c r="G106" i="14"/>
  <c r="F106" i="14"/>
  <c r="E106" i="14"/>
  <c r="D106" i="14"/>
  <c r="O106" i="14" s="1"/>
  <c r="C106" i="14"/>
  <c r="B106" i="14"/>
  <c r="A106" i="14"/>
  <c r="N105" i="14"/>
  <c r="M105" i="14"/>
  <c r="L105" i="14"/>
  <c r="K105" i="14"/>
  <c r="J105" i="14"/>
  <c r="I105" i="14"/>
  <c r="H105" i="14"/>
  <c r="G105" i="14"/>
  <c r="F105" i="14"/>
  <c r="E105" i="14"/>
  <c r="D105" i="14"/>
  <c r="O105" i="14" s="1"/>
  <c r="C105" i="14"/>
  <c r="B105" i="14"/>
  <c r="A105" i="14"/>
  <c r="N104" i="14"/>
  <c r="M104" i="14"/>
  <c r="L104" i="14"/>
  <c r="K104" i="14"/>
  <c r="J104" i="14"/>
  <c r="I104" i="14"/>
  <c r="H104" i="14"/>
  <c r="G104" i="14"/>
  <c r="O104" i="14" s="1"/>
  <c r="F104" i="14"/>
  <c r="E104" i="14"/>
  <c r="D104" i="14"/>
  <c r="C104" i="14"/>
  <c r="B104" i="14"/>
  <c r="A104" i="14"/>
  <c r="N103" i="14"/>
  <c r="M103" i="14"/>
  <c r="L103" i="14"/>
  <c r="K103" i="14"/>
  <c r="J103" i="14"/>
  <c r="I103" i="14"/>
  <c r="H103" i="14"/>
  <c r="G103" i="14"/>
  <c r="F103" i="14"/>
  <c r="O103" i="14" s="1"/>
  <c r="E103" i="14"/>
  <c r="D103" i="14"/>
  <c r="C103" i="14"/>
  <c r="B103" i="14"/>
  <c r="A103" i="14"/>
  <c r="N102" i="14"/>
  <c r="M102" i="14"/>
  <c r="L102" i="14"/>
  <c r="K102" i="14"/>
  <c r="J102" i="14"/>
  <c r="I102" i="14"/>
  <c r="H102" i="14"/>
  <c r="G102" i="14"/>
  <c r="F102" i="14"/>
  <c r="E102" i="14"/>
  <c r="O102" i="14" s="1"/>
  <c r="D102" i="14"/>
  <c r="C102" i="14"/>
  <c r="B102" i="14"/>
  <c r="A102" i="14"/>
  <c r="N101" i="14"/>
  <c r="M101" i="14"/>
  <c r="L101" i="14"/>
  <c r="K101" i="14"/>
  <c r="J101" i="14"/>
  <c r="I101" i="14"/>
  <c r="H101" i="14"/>
  <c r="G101" i="14"/>
  <c r="F101" i="14"/>
  <c r="E101" i="14"/>
  <c r="D101" i="14"/>
  <c r="O101" i="14" s="1"/>
  <c r="C101" i="14"/>
  <c r="B101" i="14"/>
  <c r="A101" i="14"/>
  <c r="N100" i="14"/>
  <c r="M100" i="14"/>
  <c r="L100" i="14"/>
  <c r="K100" i="14"/>
  <c r="J100" i="14"/>
  <c r="I100" i="14"/>
  <c r="H100" i="14"/>
  <c r="G100" i="14"/>
  <c r="O100" i="14" s="1"/>
  <c r="F100" i="14"/>
  <c r="E100" i="14"/>
  <c r="D100" i="14"/>
  <c r="C100" i="14"/>
  <c r="B100" i="14"/>
  <c r="A100" i="14"/>
  <c r="N99" i="14"/>
  <c r="M99" i="14"/>
  <c r="L99" i="14"/>
  <c r="K99" i="14"/>
  <c r="J99" i="14"/>
  <c r="I99" i="14"/>
  <c r="H99" i="14"/>
  <c r="G99" i="14"/>
  <c r="F99" i="14"/>
  <c r="E99" i="14"/>
  <c r="D99" i="14"/>
  <c r="O99" i="14" s="1"/>
  <c r="C99" i="14"/>
  <c r="B99" i="14"/>
  <c r="A99" i="14"/>
  <c r="N98" i="14"/>
  <c r="M98" i="14"/>
  <c r="L98" i="14"/>
  <c r="K98" i="14"/>
  <c r="J98" i="14"/>
  <c r="I98" i="14"/>
  <c r="H98" i="14"/>
  <c r="G98" i="14"/>
  <c r="F98" i="14"/>
  <c r="E98" i="14"/>
  <c r="D98" i="14"/>
  <c r="O98" i="14" s="1"/>
  <c r="C98" i="14"/>
  <c r="B98" i="14"/>
  <c r="A98" i="14"/>
  <c r="N97" i="14"/>
  <c r="M97" i="14"/>
  <c r="L97" i="14"/>
  <c r="K97" i="14"/>
  <c r="J97" i="14"/>
  <c r="I97" i="14"/>
  <c r="H97" i="14"/>
  <c r="G97" i="14"/>
  <c r="F97" i="14"/>
  <c r="E97" i="14"/>
  <c r="D97" i="14"/>
  <c r="O97" i="14" s="1"/>
  <c r="C97" i="14"/>
  <c r="B97" i="14"/>
  <c r="A97" i="14"/>
  <c r="N96" i="14"/>
  <c r="M96" i="14"/>
  <c r="L96" i="14"/>
  <c r="K96" i="14"/>
  <c r="J96" i="14"/>
  <c r="I96" i="14"/>
  <c r="H96" i="14"/>
  <c r="G96" i="14"/>
  <c r="O96" i="14" s="1"/>
  <c r="F96" i="14"/>
  <c r="E96" i="14"/>
  <c r="D96" i="14"/>
  <c r="C96" i="14"/>
  <c r="B96" i="14"/>
  <c r="A96" i="14"/>
  <c r="N95" i="14"/>
  <c r="M95" i="14"/>
  <c r="L95" i="14"/>
  <c r="K95" i="14"/>
  <c r="J95" i="14"/>
  <c r="I95" i="14"/>
  <c r="H95" i="14"/>
  <c r="G95" i="14"/>
  <c r="F95" i="14"/>
  <c r="E95" i="14"/>
  <c r="O95" i="14" s="1"/>
  <c r="D95" i="14"/>
  <c r="C95" i="14"/>
  <c r="B95" i="14"/>
  <c r="A95" i="14"/>
  <c r="N94" i="14"/>
  <c r="M94" i="14"/>
  <c r="L94" i="14"/>
  <c r="K94" i="14"/>
  <c r="J94" i="14"/>
  <c r="I94" i="14"/>
  <c r="H94" i="14"/>
  <c r="G94" i="14"/>
  <c r="F94" i="14"/>
  <c r="E94" i="14"/>
  <c r="O94" i="14" s="1"/>
  <c r="D94" i="14"/>
  <c r="C94" i="14"/>
  <c r="B94" i="14"/>
  <c r="A94" i="14"/>
  <c r="N93" i="14"/>
  <c r="M93" i="14"/>
  <c r="L93" i="14"/>
  <c r="K93" i="14"/>
  <c r="J93" i="14"/>
  <c r="I93" i="14"/>
  <c r="H93" i="14"/>
  <c r="G93" i="14"/>
  <c r="F93" i="14"/>
  <c r="E93" i="14"/>
  <c r="D93" i="14"/>
  <c r="O93" i="14" s="1"/>
  <c r="C93" i="14"/>
  <c r="B93" i="14"/>
  <c r="A93" i="14"/>
  <c r="N92" i="14"/>
  <c r="M92" i="14"/>
  <c r="L92" i="14"/>
  <c r="K92" i="14"/>
  <c r="J92" i="14"/>
  <c r="I92" i="14"/>
  <c r="H92" i="14"/>
  <c r="G92" i="14"/>
  <c r="O92" i="14" s="1"/>
  <c r="F92" i="14"/>
  <c r="E92" i="14"/>
  <c r="D92" i="14"/>
  <c r="C92" i="14"/>
  <c r="B92" i="14"/>
  <c r="A92" i="14"/>
  <c r="N91" i="14"/>
  <c r="M91" i="14"/>
  <c r="L91" i="14"/>
  <c r="K91" i="14"/>
  <c r="J91" i="14"/>
  <c r="I91" i="14"/>
  <c r="H91" i="14"/>
  <c r="G91" i="14"/>
  <c r="F91" i="14"/>
  <c r="E91" i="14"/>
  <c r="D91" i="14"/>
  <c r="O91" i="14" s="1"/>
  <c r="C91" i="14"/>
  <c r="B91" i="14"/>
  <c r="A91" i="14"/>
  <c r="N90" i="14"/>
  <c r="M90" i="14"/>
  <c r="L90" i="14"/>
  <c r="K90" i="14"/>
  <c r="J90" i="14"/>
  <c r="I90" i="14"/>
  <c r="H90" i="14"/>
  <c r="G90" i="14"/>
  <c r="F90" i="14"/>
  <c r="E90" i="14"/>
  <c r="D90" i="14"/>
  <c r="O90" i="14" s="1"/>
  <c r="C90" i="14"/>
  <c r="B90" i="14"/>
  <c r="A90" i="14"/>
  <c r="N89" i="14"/>
  <c r="M89" i="14"/>
  <c r="L89" i="14"/>
  <c r="K89" i="14"/>
  <c r="J89" i="14"/>
  <c r="I89" i="14"/>
  <c r="H89" i="14"/>
  <c r="G89" i="14"/>
  <c r="F89" i="14"/>
  <c r="E89" i="14"/>
  <c r="D89" i="14"/>
  <c r="O89" i="14" s="1"/>
  <c r="C89" i="14"/>
  <c r="B89" i="14"/>
  <c r="A89" i="14"/>
  <c r="N88" i="14"/>
  <c r="M88" i="14"/>
  <c r="L88" i="14"/>
  <c r="K88" i="14"/>
  <c r="J88" i="14"/>
  <c r="I88" i="14"/>
  <c r="H88" i="14"/>
  <c r="G88" i="14"/>
  <c r="O88" i="14" s="1"/>
  <c r="F88" i="14"/>
  <c r="E88" i="14"/>
  <c r="D88" i="14"/>
  <c r="C88" i="14"/>
  <c r="B88" i="14"/>
  <c r="A88" i="14"/>
  <c r="N87" i="14"/>
  <c r="M87" i="14"/>
  <c r="L87" i="14"/>
  <c r="K87" i="14"/>
  <c r="J87" i="14"/>
  <c r="I87" i="14"/>
  <c r="H87" i="14"/>
  <c r="G87" i="14"/>
  <c r="F87" i="14"/>
  <c r="O87" i="14" s="1"/>
  <c r="E87" i="14"/>
  <c r="D87" i="14"/>
  <c r="C87" i="14"/>
  <c r="B87" i="14"/>
  <c r="A87" i="14"/>
  <c r="N86" i="14"/>
  <c r="M86" i="14"/>
  <c r="L86" i="14"/>
  <c r="K86" i="14"/>
  <c r="J86" i="14"/>
  <c r="I86" i="14"/>
  <c r="H86" i="14"/>
  <c r="G86" i="14"/>
  <c r="F86" i="14"/>
  <c r="E86" i="14"/>
  <c r="O86" i="14" s="1"/>
  <c r="D86" i="14"/>
  <c r="C86" i="14"/>
  <c r="B86" i="14"/>
  <c r="A86" i="14"/>
  <c r="N85" i="14"/>
  <c r="M85" i="14"/>
  <c r="L85" i="14"/>
  <c r="K85" i="14"/>
  <c r="J85" i="14"/>
  <c r="I85" i="14"/>
  <c r="H85" i="14"/>
  <c r="G85" i="14"/>
  <c r="F85" i="14"/>
  <c r="E85" i="14"/>
  <c r="D85" i="14"/>
  <c r="O85" i="14" s="1"/>
  <c r="C85" i="14"/>
  <c r="B85" i="14"/>
  <c r="A85" i="14"/>
  <c r="N84" i="14"/>
  <c r="M84" i="14"/>
  <c r="L84" i="14"/>
  <c r="K84" i="14"/>
  <c r="J84" i="14"/>
  <c r="I84" i="14"/>
  <c r="H84" i="14"/>
  <c r="G84" i="14"/>
  <c r="O84" i="14" s="1"/>
  <c r="F84" i="14"/>
  <c r="E84" i="14"/>
  <c r="D84" i="14"/>
  <c r="C84" i="14"/>
  <c r="B84" i="14"/>
  <c r="A84" i="14"/>
  <c r="N83" i="14"/>
  <c r="M83" i="14"/>
  <c r="L83" i="14"/>
  <c r="K83" i="14"/>
  <c r="J83" i="14"/>
  <c r="I83" i="14"/>
  <c r="H83" i="14"/>
  <c r="G83" i="14"/>
  <c r="F83" i="14"/>
  <c r="E83" i="14"/>
  <c r="D83" i="14"/>
  <c r="O83" i="14" s="1"/>
  <c r="C83" i="14"/>
  <c r="B83" i="14"/>
  <c r="A83" i="14"/>
  <c r="N82" i="14"/>
  <c r="M82" i="14"/>
  <c r="L82" i="14"/>
  <c r="K82" i="14"/>
  <c r="J82" i="14"/>
  <c r="I82" i="14"/>
  <c r="H82" i="14"/>
  <c r="G82" i="14"/>
  <c r="F82" i="14"/>
  <c r="E82" i="14"/>
  <c r="D82" i="14"/>
  <c r="O82" i="14" s="1"/>
  <c r="C82" i="14"/>
  <c r="B82" i="14"/>
  <c r="A82" i="14"/>
  <c r="N81" i="14"/>
  <c r="M81" i="14"/>
  <c r="L81" i="14"/>
  <c r="K81" i="14"/>
  <c r="J81" i="14"/>
  <c r="I81" i="14"/>
  <c r="H81" i="14"/>
  <c r="G81" i="14"/>
  <c r="F81" i="14"/>
  <c r="E81" i="14"/>
  <c r="D81" i="14"/>
  <c r="O81" i="14" s="1"/>
  <c r="C81" i="14"/>
  <c r="B81" i="14"/>
  <c r="A81" i="14"/>
  <c r="N80" i="14"/>
  <c r="M80" i="14"/>
  <c r="L80" i="14"/>
  <c r="K80" i="14"/>
  <c r="J80" i="14"/>
  <c r="I80" i="14"/>
  <c r="H80" i="14"/>
  <c r="G80" i="14"/>
  <c r="O80" i="14" s="1"/>
  <c r="F80" i="14"/>
  <c r="E80" i="14"/>
  <c r="D80" i="14"/>
  <c r="C80" i="14"/>
  <c r="B80" i="14"/>
  <c r="A80" i="14"/>
  <c r="N79" i="14"/>
  <c r="M79" i="14"/>
  <c r="L79" i="14"/>
  <c r="K79" i="14"/>
  <c r="J79" i="14"/>
  <c r="I79" i="14"/>
  <c r="H79" i="14"/>
  <c r="G79" i="14"/>
  <c r="F79" i="14"/>
  <c r="E79" i="14"/>
  <c r="O79" i="14" s="1"/>
  <c r="D79" i="14"/>
  <c r="C79" i="14"/>
  <c r="B79" i="14"/>
  <c r="A79" i="14"/>
  <c r="N78" i="14"/>
  <c r="M78" i="14"/>
  <c r="L78" i="14"/>
  <c r="K78" i="14"/>
  <c r="J78" i="14"/>
  <c r="I78" i="14"/>
  <c r="H78" i="14"/>
  <c r="G78" i="14"/>
  <c r="F78" i="14"/>
  <c r="E78" i="14"/>
  <c r="O78" i="14" s="1"/>
  <c r="D78" i="14"/>
  <c r="C78" i="14"/>
  <c r="B78" i="14"/>
  <c r="A78" i="14"/>
  <c r="N77" i="14"/>
  <c r="M77" i="14"/>
  <c r="L77" i="14"/>
  <c r="K77" i="14"/>
  <c r="J77" i="14"/>
  <c r="I77" i="14"/>
  <c r="H77" i="14"/>
  <c r="G77" i="14"/>
  <c r="F77" i="14"/>
  <c r="E77" i="14"/>
  <c r="D77" i="14"/>
  <c r="O77" i="14" s="1"/>
  <c r="C77" i="14"/>
  <c r="B77" i="14"/>
  <c r="A77" i="14"/>
  <c r="N76" i="14"/>
  <c r="M76" i="14"/>
  <c r="L76" i="14"/>
  <c r="K76" i="14"/>
  <c r="J76" i="14"/>
  <c r="I76" i="14"/>
  <c r="H76" i="14"/>
  <c r="G76" i="14"/>
  <c r="O76" i="14" s="1"/>
  <c r="F76" i="14"/>
  <c r="E76" i="14"/>
  <c r="D76" i="14"/>
  <c r="C76" i="14"/>
  <c r="B76" i="14"/>
  <c r="A76" i="14"/>
  <c r="N75" i="14"/>
  <c r="M75" i="14"/>
  <c r="L75" i="14"/>
  <c r="K75" i="14"/>
  <c r="J75" i="14"/>
  <c r="I75" i="14"/>
  <c r="H75" i="14"/>
  <c r="G75" i="14"/>
  <c r="F75" i="14"/>
  <c r="E75" i="14"/>
  <c r="D75" i="14"/>
  <c r="O75" i="14" s="1"/>
  <c r="C75" i="14"/>
  <c r="B75" i="14"/>
  <c r="A75" i="14"/>
  <c r="N74" i="14"/>
  <c r="M74" i="14"/>
  <c r="L74" i="14"/>
  <c r="K74" i="14"/>
  <c r="J74" i="14"/>
  <c r="I74" i="14"/>
  <c r="H74" i="14"/>
  <c r="G74" i="14"/>
  <c r="F74" i="14"/>
  <c r="E74" i="14"/>
  <c r="D74" i="14"/>
  <c r="O74" i="14" s="1"/>
  <c r="C74" i="14"/>
  <c r="B74" i="14"/>
  <c r="A74" i="14"/>
  <c r="N73" i="14"/>
  <c r="M73" i="14"/>
  <c r="L73" i="14"/>
  <c r="K73" i="14"/>
  <c r="J73" i="14"/>
  <c r="I73" i="14"/>
  <c r="H73" i="14"/>
  <c r="G73" i="14"/>
  <c r="F73" i="14"/>
  <c r="E73" i="14"/>
  <c r="D73" i="14"/>
  <c r="O73" i="14" s="1"/>
  <c r="C73" i="14"/>
  <c r="B73" i="14"/>
  <c r="A73" i="14"/>
  <c r="N72" i="14"/>
  <c r="M72" i="14"/>
  <c r="L72" i="14"/>
  <c r="K72" i="14"/>
  <c r="J72" i="14"/>
  <c r="I72" i="14"/>
  <c r="H72" i="14"/>
  <c r="G72" i="14"/>
  <c r="O72" i="14" s="1"/>
  <c r="F72" i="14"/>
  <c r="E72" i="14"/>
  <c r="D72" i="14"/>
  <c r="C72" i="14"/>
  <c r="B72" i="14"/>
  <c r="A72" i="14"/>
  <c r="N71" i="14"/>
  <c r="M71" i="14"/>
  <c r="L71" i="14"/>
  <c r="K71" i="14"/>
  <c r="J71" i="14"/>
  <c r="I71" i="14"/>
  <c r="H71" i="14"/>
  <c r="G71" i="14"/>
  <c r="F71" i="14"/>
  <c r="E71" i="14"/>
  <c r="O71" i="14" s="1"/>
  <c r="D71" i="14"/>
  <c r="C71" i="14"/>
  <c r="B71" i="14"/>
  <c r="A71" i="14"/>
  <c r="N70" i="14"/>
  <c r="M70" i="14"/>
  <c r="L70" i="14"/>
  <c r="K70" i="14"/>
  <c r="J70" i="14"/>
  <c r="I70" i="14"/>
  <c r="H70" i="14"/>
  <c r="G70" i="14"/>
  <c r="F70" i="14"/>
  <c r="E70" i="14"/>
  <c r="O70" i="14" s="1"/>
  <c r="D70" i="14"/>
  <c r="C70" i="14"/>
  <c r="B70" i="14"/>
  <c r="A70" i="14"/>
  <c r="N69" i="14"/>
  <c r="M69" i="14"/>
  <c r="L69" i="14"/>
  <c r="K69" i="14"/>
  <c r="J69" i="14"/>
  <c r="I69" i="14"/>
  <c r="H69" i="14"/>
  <c r="G69" i="14"/>
  <c r="F69" i="14"/>
  <c r="E69" i="14"/>
  <c r="D69" i="14"/>
  <c r="O69" i="14" s="1"/>
  <c r="C69" i="14"/>
  <c r="B69" i="14"/>
  <c r="A69" i="14"/>
  <c r="N68" i="14"/>
  <c r="M68" i="14"/>
  <c r="L68" i="14"/>
  <c r="K68" i="14"/>
  <c r="J68" i="14"/>
  <c r="I68" i="14"/>
  <c r="H68" i="14"/>
  <c r="G68" i="14"/>
  <c r="O68" i="14" s="1"/>
  <c r="F68" i="14"/>
  <c r="E68" i="14"/>
  <c r="D68" i="14"/>
  <c r="C68" i="14"/>
  <c r="B68" i="14"/>
  <c r="A68" i="14"/>
  <c r="N67" i="14"/>
  <c r="M67" i="14"/>
  <c r="L67" i="14"/>
  <c r="K67" i="14"/>
  <c r="J67" i="14"/>
  <c r="I67" i="14"/>
  <c r="H67" i="14"/>
  <c r="G67" i="14"/>
  <c r="F67" i="14"/>
  <c r="E67" i="14"/>
  <c r="D67" i="14"/>
  <c r="O67" i="14" s="1"/>
  <c r="C67" i="14"/>
  <c r="B67" i="14"/>
  <c r="A67" i="14"/>
  <c r="N66" i="14"/>
  <c r="M66" i="14"/>
  <c r="L66" i="14"/>
  <c r="K66" i="14"/>
  <c r="J66" i="14"/>
  <c r="I66" i="14"/>
  <c r="H66" i="14"/>
  <c r="G66" i="14"/>
  <c r="F66" i="14"/>
  <c r="E66" i="14"/>
  <c r="D66" i="14"/>
  <c r="O66" i="14" s="1"/>
  <c r="C66" i="14"/>
  <c r="B66" i="14"/>
  <c r="A66" i="14"/>
  <c r="N65" i="14"/>
  <c r="M65" i="14"/>
  <c r="L65" i="14"/>
  <c r="K65" i="14"/>
  <c r="J65" i="14"/>
  <c r="I65" i="14"/>
  <c r="H65" i="14"/>
  <c r="G65" i="14"/>
  <c r="F65" i="14"/>
  <c r="E65" i="14"/>
  <c r="D65" i="14"/>
  <c r="O65" i="14" s="1"/>
  <c r="C65" i="14"/>
  <c r="B65" i="14"/>
  <c r="A65" i="14"/>
  <c r="N64" i="14"/>
  <c r="M64" i="14"/>
  <c r="L64" i="14"/>
  <c r="K64" i="14"/>
  <c r="J64" i="14"/>
  <c r="I64" i="14"/>
  <c r="H64" i="14"/>
  <c r="G64" i="14"/>
  <c r="O64" i="14" s="1"/>
  <c r="F64" i="14"/>
  <c r="E64" i="14"/>
  <c r="D64" i="14"/>
  <c r="C64" i="14"/>
  <c r="B64" i="14"/>
  <c r="A64" i="14"/>
  <c r="N63" i="14"/>
  <c r="M63" i="14"/>
  <c r="L63" i="14"/>
  <c r="K63" i="14"/>
  <c r="J63" i="14"/>
  <c r="I63" i="14"/>
  <c r="H63" i="14"/>
  <c r="G63" i="14"/>
  <c r="F63" i="14"/>
  <c r="E63" i="14"/>
  <c r="O63" i="14" s="1"/>
  <c r="D63" i="14"/>
  <c r="C63" i="14"/>
  <c r="B63" i="14"/>
  <c r="A63" i="14"/>
  <c r="N62" i="14"/>
  <c r="M62" i="14"/>
  <c r="L62" i="14"/>
  <c r="K62" i="14"/>
  <c r="J62" i="14"/>
  <c r="I62" i="14"/>
  <c r="H62" i="14"/>
  <c r="G62" i="14"/>
  <c r="F62" i="14"/>
  <c r="E62" i="14"/>
  <c r="O62" i="14" s="1"/>
  <c r="D62" i="14"/>
  <c r="C62" i="14"/>
  <c r="B62" i="14"/>
  <c r="A62" i="14"/>
  <c r="N61" i="14"/>
  <c r="M61" i="14"/>
  <c r="L61" i="14"/>
  <c r="K61" i="14"/>
  <c r="J61" i="14"/>
  <c r="I61" i="14"/>
  <c r="H61" i="14"/>
  <c r="G61" i="14"/>
  <c r="F61" i="14"/>
  <c r="E61" i="14"/>
  <c r="D61" i="14"/>
  <c r="O61" i="14" s="1"/>
  <c r="C61" i="14"/>
  <c r="B61" i="14"/>
  <c r="A61" i="14"/>
  <c r="N60" i="14"/>
  <c r="M60" i="14"/>
  <c r="L60" i="14"/>
  <c r="K60" i="14"/>
  <c r="J60" i="14"/>
  <c r="I60" i="14"/>
  <c r="H60" i="14"/>
  <c r="G60" i="14"/>
  <c r="O60" i="14" s="1"/>
  <c r="F60" i="14"/>
  <c r="E60" i="14"/>
  <c r="D60" i="14"/>
  <c r="C60" i="14"/>
  <c r="B60" i="14"/>
  <c r="A60" i="14"/>
  <c r="N59" i="14"/>
  <c r="M59" i="14"/>
  <c r="L59" i="14"/>
  <c r="K59" i="14"/>
  <c r="J59" i="14"/>
  <c r="I59" i="14"/>
  <c r="H59" i="14"/>
  <c r="G59" i="14"/>
  <c r="F59" i="14"/>
  <c r="E59" i="14"/>
  <c r="D59" i="14"/>
  <c r="O59" i="14" s="1"/>
  <c r="C59" i="14"/>
  <c r="B59" i="14"/>
  <c r="A59" i="14"/>
  <c r="N58" i="14"/>
  <c r="M58" i="14"/>
  <c r="L58" i="14"/>
  <c r="K58" i="14"/>
  <c r="J58" i="14"/>
  <c r="I58" i="14"/>
  <c r="H58" i="14"/>
  <c r="G58" i="14"/>
  <c r="F58" i="14"/>
  <c r="E58" i="14"/>
  <c r="D58" i="14"/>
  <c r="O58" i="14" s="1"/>
  <c r="C58" i="14"/>
  <c r="B58" i="14"/>
  <c r="A58" i="14"/>
  <c r="N57" i="14"/>
  <c r="M57" i="14"/>
  <c r="L57" i="14"/>
  <c r="K57" i="14"/>
  <c r="J57" i="14"/>
  <c r="I57" i="14"/>
  <c r="H57" i="14"/>
  <c r="G57" i="14"/>
  <c r="F57" i="14"/>
  <c r="E57" i="14"/>
  <c r="D57" i="14"/>
  <c r="O57" i="14" s="1"/>
  <c r="C57" i="14"/>
  <c r="B57" i="14"/>
  <c r="A57" i="14"/>
  <c r="N56" i="14"/>
  <c r="M56" i="14"/>
  <c r="L56" i="14"/>
  <c r="K56" i="14"/>
  <c r="J56" i="14"/>
  <c r="I56" i="14"/>
  <c r="H56" i="14"/>
  <c r="G56" i="14"/>
  <c r="O56" i="14" s="1"/>
  <c r="F56" i="14"/>
  <c r="E56" i="14"/>
  <c r="D56" i="14"/>
  <c r="C56" i="14"/>
  <c r="B56" i="14"/>
  <c r="A56" i="14"/>
  <c r="N55" i="14"/>
  <c r="M55" i="14"/>
  <c r="L55" i="14"/>
  <c r="K55" i="14"/>
  <c r="J55" i="14"/>
  <c r="I55" i="14"/>
  <c r="H55" i="14"/>
  <c r="G55" i="14"/>
  <c r="F55" i="14"/>
  <c r="E55" i="14"/>
  <c r="D55" i="14"/>
  <c r="O55" i="14" s="1"/>
  <c r="C55" i="14"/>
  <c r="B55" i="14"/>
  <c r="A55" i="14"/>
  <c r="N54" i="14"/>
  <c r="M54" i="14"/>
  <c r="L54" i="14"/>
  <c r="K54" i="14"/>
  <c r="J54" i="14"/>
  <c r="I54" i="14"/>
  <c r="H54" i="14"/>
  <c r="G54" i="14"/>
  <c r="F54" i="14"/>
  <c r="E54" i="14"/>
  <c r="O54" i="14" s="1"/>
  <c r="D54" i="14"/>
  <c r="C54" i="14"/>
  <c r="B54" i="14"/>
  <c r="A54" i="14"/>
  <c r="N53" i="14"/>
  <c r="M53" i="14"/>
  <c r="L53" i="14"/>
  <c r="K53" i="14"/>
  <c r="J53" i="14"/>
  <c r="I53" i="14"/>
  <c r="H53" i="14"/>
  <c r="G53" i="14"/>
  <c r="F53" i="14"/>
  <c r="E53" i="14"/>
  <c r="D53" i="14"/>
  <c r="O53" i="14" s="1"/>
  <c r="C53" i="14"/>
  <c r="B53" i="14"/>
  <c r="A53" i="14"/>
  <c r="N52" i="14"/>
  <c r="M52" i="14"/>
  <c r="L52" i="14"/>
  <c r="K52" i="14"/>
  <c r="J52" i="14"/>
  <c r="I52" i="14"/>
  <c r="H52" i="14"/>
  <c r="G52" i="14"/>
  <c r="O52" i="14" s="1"/>
  <c r="F52" i="14"/>
  <c r="E52" i="14"/>
  <c r="D52" i="14"/>
  <c r="C52" i="14"/>
  <c r="B52" i="14"/>
  <c r="A52" i="14"/>
  <c r="N51" i="14"/>
  <c r="M51" i="14"/>
  <c r="L51" i="14"/>
  <c r="K51" i="14"/>
  <c r="J51" i="14"/>
  <c r="I51" i="14"/>
  <c r="H51" i="14"/>
  <c r="G51" i="14"/>
  <c r="F51" i="14"/>
  <c r="E51" i="14"/>
  <c r="D51" i="14"/>
  <c r="O51" i="14" s="1"/>
  <c r="C51" i="14"/>
  <c r="B51" i="14"/>
  <c r="A51" i="14"/>
  <c r="N50" i="14"/>
  <c r="M50" i="14"/>
  <c r="L50" i="14"/>
  <c r="K50" i="14"/>
  <c r="J50" i="14"/>
  <c r="I50" i="14"/>
  <c r="H50" i="14"/>
  <c r="G50" i="14"/>
  <c r="F50" i="14"/>
  <c r="E50" i="14"/>
  <c r="D50" i="14"/>
  <c r="O50" i="14" s="1"/>
  <c r="C50" i="14"/>
  <c r="B50" i="14"/>
  <c r="A50" i="14"/>
  <c r="N49" i="14"/>
  <c r="M49" i="14"/>
  <c r="L49" i="14"/>
  <c r="K49" i="14"/>
  <c r="J49" i="14"/>
  <c r="I49" i="14"/>
  <c r="H49" i="14"/>
  <c r="G49" i="14"/>
  <c r="F49" i="14"/>
  <c r="E49" i="14"/>
  <c r="D49" i="14"/>
  <c r="O49" i="14" s="1"/>
  <c r="C49" i="14"/>
  <c r="B49" i="14"/>
  <c r="A49" i="14"/>
  <c r="N48" i="14"/>
  <c r="M48" i="14"/>
  <c r="L48" i="14"/>
  <c r="K48" i="14"/>
  <c r="J48" i="14"/>
  <c r="I48" i="14"/>
  <c r="H48" i="14"/>
  <c r="G48" i="14"/>
  <c r="O48" i="14" s="1"/>
  <c r="F48" i="14"/>
  <c r="E48" i="14"/>
  <c r="D48" i="14"/>
  <c r="C48" i="14"/>
  <c r="B48" i="14"/>
  <c r="A48" i="14"/>
  <c r="N47" i="14"/>
  <c r="M47" i="14"/>
  <c r="L47" i="14"/>
  <c r="K47" i="14"/>
  <c r="J47" i="14"/>
  <c r="I47" i="14"/>
  <c r="H47" i="14"/>
  <c r="G47" i="14"/>
  <c r="F47" i="14"/>
  <c r="E47" i="14"/>
  <c r="D47" i="14"/>
  <c r="O47" i="14" s="1"/>
  <c r="C47" i="14"/>
  <c r="B47" i="14"/>
  <c r="A47" i="14"/>
  <c r="N46" i="14"/>
  <c r="M46" i="14"/>
  <c r="L46" i="14"/>
  <c r="K46" i="14"/>
  <c r="J46" i="14"/>
  <c r="I46" i="14"/>
  <c r="H46" i="14"/>
  <c r="G46" i="14"/>
  <c r="F46" i="14"/>
  <c r="E46" i="14"/>
  <c r="O46" i="14" s="1"/>
  <c r="D46" i="14"/>
  <c r="C46" i="14"/>
  <c r="B46" i="14"/>
  <c r="A46" i="14"/>
  <c r="N45" i="14"/>
  <c r="M45" i="14"/>
  <c r="L45" i="14"/>
  <c r="K45" i="14"/>
  <c r="J45" i="14"/>
  <c r="I45" i="14"/>
  <c r="H45" i="14"/>
  <c r="G45" i="14"/>
  <c r="F45" i="14"/>
  <c r="E45" i="14"/>
  <c r="D45" i="14"/>
  <c r="O45" i="14" s="1"/>
  <c r="C45" i="14"/>
  <c r="B45" i="14"/>
  <c r="A45" i="14"/>
  <c r="N44" i="14"/>
  <c r="M44" i="14"/>
  <c r="L44" i="14"/>
  <c r="K44" i="14"/>
  <c r="J44" i="14"/>
  <c r="I44" i="14"/>
  <c r="H44" i="14"/>
  <c r="G44" i="14"/>
  <c r="O44" i="14" s="1"/>
  <c r="F44" i="14"/>
  <c r="E44" i="14"/>
  <c r="D44" i="14"/>
  <c r="C44" i="14"/>
  <c r="B44" i="14"/>
  <c r="A44" i="14"/>
  <c r="N43" i="14"/>
  <c r="M43" i="14"/>
  <c r="L43" i="14"/>
  <c r="K43" i="14"/>
  <c r="J43" i="14"/>
  <c r="I43" i="14"/>
  <c r="H43" i="14"/>
  <c r="G43" i="14"/>
  <c r="F43" i="14"/>
  <c r="E43" i="14"/>
  <c r="D43" i="14"/>
  <c r="O43" i="14" s="1"/>
  <c r="C43" i="14"/>
  <c r="B43" i="14"/>
  <c r="A43" i="14"/>
  <c r="N42" i="14"/>
  <c r="M42" i="14"/>
  <c r="L42" i="14"/>
  <c r="K42" i="14"/>
  <c r="J42" i="14"/>
  <c r="I42" i="14"/>
  <c r="H42" i="14"/>
  <c r="G42" i="14"/>
  <c r="F42" i="14"/>
  <c r="E42" i="14"/>
  <c r="D42" i="14"/>
  <c r="O42" i="14" s="1"/>
  <c r="C42" i="14"/>
  <c r="B42" i="14"/>
  <c r="A42" i="14"/>
  <c r="N41" i="14"/>
  <c r="M41" i="14"/>
  <c r="L41" i="14"/>
  <c r="K41" i="14"/>
  <c r="J41" i="14"/>
  <c r="I41" i="14"/>
  <c r="H41" i="14"/>
  <c r="G41" i="14"/>
  <c r="F41" i="14"/>
  <c r="E41" i="14"/>
  <c r="D41" i="14"/>
  <c r="O41" i="14" s="1"/>
  <c r="C41" i="14"/>
  <c r="B41" i="14"/>
  <c r="A41" i="14"/>
  <c r="N40" i="14"/>
  <c r="M40" i="14"/>
  <c r="L40" i="14"/>
  <c r="K40" i="14"/>
  <c r="J40" i="14"/>
  <c r="I40" i="14"/>
  <c r="H40" i="14"/>
  <c r="G40" i="14"/>
  <c r="O40" i="14" s="1"/>
  <c r="F40" i="14"/>
  <c r="E40" i="14"/>
  <c r="D40" i="14"/>
  <c r="C40" i="14"/>
  <c r="B40" i="14"/>
  <c r="A40" i="14"/>
  <c r="N39" i="14"/>
  <c r="M39" i="14"/>
  <c r="L39" i="14"/>
  <c r="K39" i="14"/>
  <c r="J39" i="14"/>
  <c r="I39" i="14"/>
  <c r="H39" i="14"/>
  <c r="G39" i="14"/>
  <c r="F39" i="14"/>
  <c r="E39" i="14"/>
  <c r="D39" i="14"/>
  <c r="O39" i="14" s="1"/>
  <c r="C39" i="14"/>
  <c r="B39" i="14"/>
  <c r="A39" i="14"/>
  <c r="N38" i="14"/>
  <c r="M38" i="14"/>
  <c r="L38" i="14"/>
  <c r="K38" i="14"/>
  <c r="J38" i="14"/>
  <c r="I38" i="14"/>
  <c r="H38" i="14"/>
  <c r="G38" i="14"/>
  <c r="F38" i="14"/>
  <c r="E38" i="14"/>
  <c r="O38" i="14" s="1"/>
  <c r="D38" i="14"/>
  <c r="C38" i="14"/>
  <c r="B38" i="14"/>
  <c r="A38" i="14"/>
  <c r="N37" i="14"/>
  <c r="M37" i="14"/>
  <c r="L37" i="14"/>
  <c r="K37" i="14"/>
  <c r="J37" i="14"/>
  <c r="I37" i="14"/>
  <c r="H37" i="14"/>
  <c r="G37" i="14"/>
  <c r="F37" i="14"/>
  <c r="E37" i="14"/>
  <c r="D37" i="14"/>
  <c r="O37" i="14" s="1"/>
  <c r="C37" i="14"/>
  <c r="B37" i="14"/>
  <c r="A37" i="14"/>
  <c r="N36" i="14"/>
  <c r="M36" i="14"/>
  <c r="L36" i="14"/>
  <c r="K36" i="14"/>
  <c r="J36" i="14"/>
  <c r="I36" i="14"/>
  <c r="H36" i="14"/>
  <c r="G36" i="14"/>
  <c r="O36" i="14" s="1"/>
  <c r="F36" i="14"/>
  <c r="E36" i="14"/>
  <c r="D36" i="14"/>
  <c r="C36" i="14"/>
  <c r="B36" i="14"/>
  <c r="A36" i="14"/>
  <c r="N35" i="14"/>
  <c r="M35" i="14"/>
  <c r="L35" i="14"/>
  <c r="K35" i="14"/>
  <c r="J35" i="14"/>
  <c r="I35" i="14"/>
  <c r="H35" i="14"/>
  <c r="G35" i="14"/>
  <c r="F35" i="14"/>
  <c r="E35" i="14"/>
  <c r="D35" i="14"/>
  <c r="O35" i="14" s="1"/>
  <c r="C35" i="14"/>
  <c r="B35" i="14"/>
  <c r="A35" i="14"/>
  <c r="N34" i="14"/>
  <c r="M34" i="14"/>
  <c r="L34" i="14"/>
  <c r="K34" i="14"/>
  <c r="J34" i="14"/>
  <c r="I34" i="14"/>
  <c r="H34" i="14"/>
  <c r="G34" i="14"/>
  <c r="F34" i="14"/>
  <c r="E34" i="14"/>
  <c r="D34" i="14"/>
  <c r="O34" i="14" s="1"/>
  <c r="C34" i="14"/>
  <c r="B34" i="14"/>
  <c r="A34" i="14"/>
  <c r="N33" i="14"/>
  <c r="M33" i="14"/>
  <c r="L33" i="14"/>
  <c r="K33" i="14"/>
  <c r="J33" i="14"/>
  <c r="I33" i="14"/>
  <c r="H33" i="14"/>
  <c r="G33" i="14"/>
  <c r="F33" i="14"/>
  <c r="E33" i="14"/>
  <c r="D33" i="14"/>
  <c r="O33" i="14" s="1"/>
  <c r="C33" i="14"/>
  <c r="B33" i="14"/>
  <c r="A33" i="14"/>
  <c r="N32" i="14"/>
  <c r="M32" i="14"/>
  <c r="L32" i="14"/>
  <c r="K32" i="14"/>
  <c r="J32" i="14"/>
  <c r="I32" i="14"/>
  <c r="H32" i="14"/>
  <c r="G32" i="14"/>
  <c r="O32" i="14" s="1"/>
  <c r="F32" i="14"/>
  <c r="E32" i="14"/>
  <c r="D32" i="14"/>
  <c r="C32" i="14"/>
  <c r="B32" i="14"/>
  <c r="A32" i="14"/>
  <c r="N31" i="14"/>
  <c r="M31" i="14"/>
  <c r="L31" i="14"/>
  <c r="K31" i="14"/>
  <c r="J31" i="14"/>
  <c r="I31" i="14"/>
  <c r="H31" i="14"/>
  <c r="G31" i="14"/>
  <c r="F31" i="14"/>
  <c r="E31" i="14"/>
  <c r="D31" i="14"/>
  <c r="O31" i="14" s="1"/>
  <c r="C31" i="14"/>
  <c r="B31" i="14"/>
  <c r="A31" i="14"/>
  <c r="N30" i="14"/>
  <c r="M30" i="14"/>
  <c r="L30" i="14"/>
  <c r="K30" i="14"/>
  <c r="J30" i="14"/>
  <c r="I30" i="14"/>
  <c r="H30" i="14"/>
  <c r="G30" i="14"/>
  <c r="F30" i="14"/>
  <c r="E30" i="14"/>
  <c r="O30" i="14" s="1"/>
  <c r="D30" i="14"/>
  <c r="C30" i="14"/>
  <c r="B30" i="14"/>
  <c r="A30" i="14"/>
  <c r="N29" i="14"/>
  <c r="M29" i="14"/>
  <c r="L29" i="14"/>
  <c r="K29" i="14"/>
  <c r="J29" i="14"/>
  <c r="I29" i="14"/>
  <c r="H29" i="14"/>
  <c r="G29" i="14"/>
  <c r="F29" i="14"/>
  <c r="E29" i="14"/>
  <c r="D29" i="14"/>
  <c r="O29" i="14" s="1"/>
  <c r="C29" i="14"/>
  <c r="B29" i="14"/>
  <c r="A29" i="14"/>
  <c r="N28" i="14"/>
  <c r="M28" i="14"/>
  <c r="L28" i="14"/>
  <c r="K28" i="14"/>
  <c r="J28" i="14"/>
  <c r="I28" i="14"/>
  <c r="H28" i="14"/>
  <c r="G28" i="14"/>
  <c r="O28" i="14" s="1"/>
  <c r="F28" i="14"/>
  <c r="E28" i="14"/>
  <c r="D28" i="14"/>
  <c r="C28" i="14"/>
  <c r="B28" i="14"/>
  <c r="A28" i="14"/>
  <c r="N27" i="14"/>
  <c r="M27" i="14"/>
  <c r="L27" i="14"/>
  <c r="K27" i="14"/>
  <c r="J27" i="14"/>
  <c r="I27" i="14"/>
  <c r="H27" i="14"/>
  <c r="G27" i="14"/>
  <c r="F27" i="14"/>
  <c r="E27" i="14"/>
  <c r="D27" i="14"/>
  <c r="O27" i="14" s="1"/>
  <c r="C27" i="14"/>
  <c r="B27" i="14"/>
  <c r="A27" i="14"/>
  <c r="N26" i="14"/>
  <c r="M26" i="14"/>
  <c r="L26" i="14"/>
  <c r="K26" i="14"/>
  <c r="J26" i="14"/>
  <c r="I26" i="14"/>
  <c r="H26" i="14"/>
  <c r="G26" i="14"/>
  <c r="F26" i="14"/>
  <c r="E26" i="14"/>
  <c r="D26" i="14"/>
  <c r="O26" i="14" s="1"/>
  <c r="C26" i="14"/>
  <c r="B26" i="14"/>
  <c r="A26" i="14"/>
  <c r="N25" i="14"/>
  <c r="M25" i="14"/>
  <c r="L25" i="14"/>
  <c r="K25" i="14"/>
  <c r="J25" i="14"/>
  <c r="I25" i="14"/>
  <c r="H25" i="14"/>
  <c r="G25" i="14"/>
  <c r="F25" i="14"/>
  <c r="E25" i="14"/>
  <c r="D25" i="14"/>
  <c r="O25" i="14" s="1"/>
  <c r="C25" i="14"/>
  <c r="B25" i="14"/>
  <c r="A25" i="14"/>
  <c r="N24" i="14"/>
  <c r="M24" i="14"/>
  <c r="L24" i="14"/>
  <c r="K24" i="14"/>
  <c r="J24" i="14"/>
  <c r="I24" i="14"/>
  <c r="H24" i="14"/>
  <c r="G24" i="14"/>
  <c r="O24" i="14" s="1"/>
  <c r="F24" i="14"/>
  <c r="E24" i="14"/>
  <c r="D24" i="14"/>
  <c r="C24" i="14"/>
  <c r="B24" i="14"/>
  <c r="A24" i="14"/>
  <c r="N23" i="14"/>
  <c r="M23" i="14"/>
  <c r="L23" i="14"/>
  <c r="K23" i="14"/>
  <c r="J23" i="14"/>
  <c r="I23" i="14"/>
  <c r="H23" i="14"/>
  <c r="G23" i="14"/>
  <c r="F23" i="14"/>
  <c r="E23" i="14"/>
  <c r="D23" i="14"/>
  <c r="O23" i="14" s="1"/>
  <c r="C23" i="14"/>
  <c r="B23" i="14"/>
  <c r="A23" i="14"/>
  <c r="N22" i="14"/>
  <c r="M22" i="14"/>
  <c r="L22" i="14"/>
  <c r="K22" i="14"/>
  <c r="J22" i="14"/>
  <c r="I22" i="14"/>
  <c r="H22" i="14"/>
  <c r="G22" i="14"/>
  <c r="F22" i="14"/>
  <c r="E22" i="14"/>
  <c r="O22" i="14" s="1"/>
  <c r="D22" i="14"/>
  <c r="C22" i="14"/>
  <c r="B22" i="14"/>
  <c r="A22" i="14"/>
  <c r="N21" i="14"/>
  <c r="M21" i="14"/>
  <c r="L21" i="14"/>
  <c r="K21" i="14"/>
  <c r="J21" i="14"/>
  <c r="I21" i="14"/>
  <c r="H21" i="14"/>
  <c r="G21" i="14"/>
  <c r="F21" i="14"/>
  <c r="E21" i="14"/>
  <c r="D21" i="14"/>
  <c r="O21" i="14" s="1"/>
  <c r="C21" i="14"/>
  <c r="B21" i="14"/>
  <c r="A21" i="14"/>
  <c r="N20" i="14"/>
  <c r="M20" i="14"/>
  <c r="L20" i="14"/>
  <c r="K20" i="14"/>
  <c r="J20" i="14"/>
  <c r="I20" i="14"/>
  <c r="H20" i="14"/>
  <c r="G20" i="14"/>
  <c r="O20" i="14" s="1"/>
  <c r="F20" i="14"/>
  <c r="E20" i="14"/>
  <c r="D20" i="14"/>
  <c r="C20" i="14"/>
  <c r="B20" i="14"/>
  <c r="A20" i="14"/>
  <c r="N19" i="14"/>
  <c r="M19" i="14"/>
  <c r="L19" i="14"/>
  <c r="K19" i="14"/>
  <c r="J19" i="14"/>
  <c r="I19" i="14"/>
  <c r="H19" i="14"/>
  <c r="G19" i="14"/>
  <c r="F19" i="14"/>
  <c r="E19" i="14"/>
  <c r="D19" i="14"/>
  <c r="O19" i="14" s="1"/>
  <c r="C19" i="14"/>
  <c r="B19" i="14"/>
  <c r="A19" i="14"/>
  <c r="N18" i="14"/>
  <c r="M18" i="14"/>
  <c r="L18" i="14"/>
  <c r="K18" i="14"/>
  <c r="J18" i="14"/>
  <c r="I18" i="14"/>
  <c r="H18" i="14"/>
  <c r="G18" i="14"/>
  <c r="F18" i="14"/>
  <c r="E18" i="14"/>
  <c r="D18" i="14"/>
  <c r="O18" i="14" s="1"/>
  <c r="C18" i="14"/>
  <c r="B18" i="14"/>
  <c r="A18" i="14"/>
  <c r="N17" i="14"/>
  <c r="M17" i="14"/>
  <c r="L17" i="14"/>
  <c r="K17" i="14"/>
  <c r="J17" i="14"/>
  <c r="I17" i="14"/>
  <c r="H17" i="14"/>
  <c r="G17" i="14"/>
  <c r="F17" i="14"/>
  <c r="E17" i="14"/>
  <c r="D17" i="14"/>
  <c r="O17" i="14" s="1"/>
  <c r="C17" i="14"/>
  <c r="B17" i="14"/>
  <c r="A17" i="14"/>
  <c r="N16" i="14"/>
  <c r="M16" i="14"/>
  <c r="L16" i="14"/>
  <c r="K16" i="14"/>
  <c r="J16" i="14"/>
  <c r="I16" i="14"/>
  <c r="H16" i="14"/>
  <c r="G16" i="14"/>
  <c r="O16" i="14" s="1"/>
  <c r="F16" i="14"/>
  <c r="E16" i="14"/>
  <c r="D16" i="14"/>
  <c r="C16" i="14"/>
  <c r="B16" i="14"/>
  <c r="A16" i="14"/>
  <c r="N15" i="14"/>
  <c r="M15" i="14"/>
  <c r="L15" i="14"/>
  <c r="K15" i="14"/>
  <c r="J15" i="14"/>
  <c r="I15" i="14"/>
  <c r="H15" i="14"/>
  <c r="G15" i="14"/>
  <c r="F15" i="14"/>
  <c r="E15" i="14"/>
  <c r="D15" i="14"/>
  <c r="O15" i="14" s="1"/>
  <c r="C15" i="14"/>
  <c r="B15" i="14"/>
  <c r="A15" i="14"/>
  <c r="N14" i="14"/>
  <c r="M14" i="14"/>
  <c r="M10" i="14" s="1"/>
  <c r="L14" i="14"/>
  <c r="K14" i="14"/>
  <c r="J14" i="14"/>
  <c r="I14" i="14"/>
  <c r="H14" i="14"/>
  <c r="G14" i="14"/>
  <c r="F14" i="14"/>
  <c r="E14" i="14"/>
  <c r="O14" i="14" s="1"/>
  <c r="D14" i="14"/>
  <c r="C14" i="14"/>
  <c r="B14" i="14"/>
  <c r="A14" i="14"/>
  <c r="N13" i="14"/>
  <c r="M13" i="14"/>
  <c r="L13" i="14"/>
  <c r="K13" i="14"/>
  <c r="J13" i="14"/>
  <c r="I13" i="14"/>
  <c r="H13" i="14"/>
  <c r="G13" i="14"/>
  <c r="F13" i="14"/>
  <c r="E13" i="14"/>
  <c r="D13" i="14"/>
  <c r="O13" i="14" s="1"/>
  <c r="C13" i="14"/>
  <c r="B13" i="14"/>
  <c r="A13" i="14"/>
  <c r="N12" i="14"/>
  <c r="M12" i="14"/>
  <c r="L12" i="14"/>
  <c r="K12" i="14"/>
  <c r="K10" i="14" s="1"/>
  <c r="J12" i="14"/>
  <c r="I12" i="14"/>
  <c r="H12" i="14"/>
  <c r="G12" i="14"/>
  <c r="O12" i="14" s="1"/>
  <c r="F12" i="14"/>
  <c r="E12" i="14"/>
  <c r="D12" i="14"/>
  <c r="C12" i="14"/>
  <c r="B12" i="14"/>
  <c r="A12" i="14"/>
  <c r="N11" i="14"/>
  <c r="N10" i="14" s="1"/>
  <c r="M11" i="14"/>
  <c r="L11" i="14"/>
  <c r="L10" i="14" s="1"/>
  <c r="K11" i="14"/>
  <c r="J11" i="14"/>
  <c r="J10" i="14" s="1"/>
  <c r="I11" i="14"/>
  <c r="H11" i="14"/>
  <c r="H10" i="14" s="1"/>
  <c r="G11" i="14"/>
  <c r="G10" i="14" s="1"/>
  <c r="F11" i="14"/>
  <c r="F10" i="14" s="1"/>
  <c r="E11" i="14"/>
  <c r="D11" i="14"/>
  <c r="O11" i="14" s="1"/>
  <c r="C11" i="14"/>
  <c r="B11" i="14"/>
  <c r="A11" i="14"/>
  <c r="I10" i="14"/>
  <c r="K31" i="13"/>
  <c r="J31" i="13"/>
  <c r="H31" i="13"/>
  <c r="G31" i="13"/>
  <c r="F31" i="13"/>
  <c r="E31" i="13"/>
  <c r="D31" i="13"/>
  <c r="C31" i="13"/>
  <c r="B31" i="13"/>
  <c r="A31" i="13"/>
  <c r="K30" i="13"/>
  <c r="J30" i="13"/>
  <c r="H30" i="13"/>
  <c r="G30" i="13"/>
  <c r="F30" i="13"/>
  <c r="E30" i="13"/>
  <c r="D30" i="13"/>
  <c r="C30" i="13"/>
  <c r="B30" i="13"/>
  <c r="A30" i="13"/>
  <c r="K29" i="13"/>
  <c r="J29" i="13"/>
  <c r="H29" i="13"/>
  <c r="G29" i="13"/>
  <c r="F29" i="13"/>
  <c r="E29" i="13"/>
  <c r="D29" i="13"/>
  <c r="C29" i="13"/>
  <c r="B29" i="13"/>
  <c r="A29" i="13"/>
  <c r="K28" i="13"/>
  <c r="J28" i="13"/>
  <c r="H28" i="13"/>
  <c r="G28" i="13"/>
  <c r="F28" i="13"/>
  <c r="E28" i="13"/>
  <c r="D28" i="13"/>
  <c r="C28" i="13"/>
  <c r="B28" i="13"/>
  <c r="A28" i="13"/>
  <c r="K27" i="13"/>
  <c r="J27" i="13"/>
  <c r="H27" i="13"/>
  <c r="G27" i="13"/>
  <c r="F27" i="13"/>
  <c r="E27" i="13"/>
  <c r="D27" i="13"/>
  <c r="C27" i="13"/>
  <c r="B27" i="13"/>
  <c r="A27" i="13"/>
  <c r="K26" i="13"/>
  <c r="J26" i="13"/>
  <c r="H26" i="13"/>
  <c r="G26" i="13"/>
  <c r="F26" i="13"/>
  <c r="E26" i="13"/>
  <c r="D26" i="13"/>
  <c r="C26" i="13"/>
  <c r="B26" i="13"/>
  <c r="A26" i="13"/>
  <c r="K25" i="13"/>
  <c r="J25" i="13"/>
  <c r="I25" i="13"/>
  <c r="H25" i="13"/>
  <c r="G25" i="13"/>
  <c r="F25" i="13"/>
  <c r="E25" i="13"/>
  <c r="D25" i="13"/>
  <c r="C25" i="13"/>
  <c r="B25" i="13"/>
  <c r="A25" i="13"/>
  <c r="K24" i="13"/>
  <c r="J24" i="13"/>
  <c r="H24" i="13"/>
  <c r="G24" i="13"/>
  <c r="F24" i="13"/>
  <c r="E24" i="13"/>
  <c r="D24" i="13"/>
  <c r="C24" i="13"/>
  <c r="B24" i="13"/>
  <c r="A24" i="13"/>
  <c r="K23" i="13"/>
  <c r="J23" i="13"/>
  <c r="H23" i="13"/>
  <c r="G23" i="13"/>
  <c r="F23" i="13"/>
  <c r="E23" i="13"/>
  <c r="D23" i="13"/>
  <c r="C23" i="13"/>
  <c r="B23" i="13"/>
  <c r="A23" i="13"/>
  <c r="K22" i="13"/>
  <c r="J22" i="13"/>
  <c r="H22" i="13"/>
  <c r="G22" i="13"/>
  <c r="F22" i="13"/>
  <c r="E22" i="13"/>
  <c r="D22" i="13"/>
  <c r="C22" i="13"/>
  <c r="B22" i="13"/>
  <c r="A22" i="13"/>
  <c r="K21" i="13"/>
  <c r="J21" i="13"/>
  <c r="H21" i="13"/>
  <c r="G21" i="13"/>
  <c r="F21" i="13"/>
  <c r="E21" i="13"/>
  <c r="D21" i="13"/>
  <c r="C21" i="13"/>
  <c r="B21" i="13"/>
  <c r="A21" i="13"/>
  <c r="K20" i="13"/>
  <c r="J20" i="13"/>
  <c r="H20" i="13"/>
  <c r="G20" i="13"/>
  <c r="F20" i="13"/>
  <c r="E20" i="13"/>
  <c r="D20" i="13"/>
  <c r="C20" i="13"/>
  <c r="B20" i="13"/>
  <c r="A20" i="13"/>
  <c r="K19" i="13"/>
  <c r="J19" i="13"/>
  <c r="H19" i="13"/>
  <c r="G19" i="13"/>
  <c r="F19" i="13"/>
  <c r="E19" i="13"/>
  <c r="D19" i="13"/>
  <c r="C19" i="13"/>
  <c r="B19" i="13"/>
  <c r="A19" i="13"/>
  <c r="K18" i="13"/>
  <c r="J18" i="13"/>
  <c r="H18" i="13"/>
  <c r="G18" i="13"/>
  <c r="F18" i="13"/>
  <c r="E18" i="13"/>
  <c r="D18" i="13"/>
  <c r="C18" i="13"/>
  <c r="B18" i="13"/>
  <c r="A18" i="13"/>
  <c r="K17" i="13"/>
  <c r="J17" i="13"/>
  <c r="H17" i="13"/>
  <c r="G17" i="13"/>
  <c r="F17" i="13"/>
  <c r="E17" i="13"/>
  <c r="D17" i="13"/>
  <c r="C17" i="13"/>
  <c r="B17" i="13"/>
  <c r="A17" i="13"/>
  <c r="K16" i="13"/>
  <c r="J16" i="13"/>
  <c r="H16" i="13"/>
  <c r="G16" i="13"/>
  <c r="F16" i="13"/>
  <c r="E16" i="13"/>
  <c r="D16" i="13"/>
  <c r="C16" i="13"/>
  <c r="B16" i="13"/>
  <c r="A16" i="13"/>
  <c r="K15" i="13"/>
  <c r="J15" i="13"/>
  <c r="H15" i="13"/>
  <c r="G15" i="13"/>
  <c r="F15" i="13"/>
  <c r="E15" i="13"/>
  <c r="D15" i="13"/>
  <c r="C15" i="13"/>
  <c r="B15" i="13"/>
  <c r="A15" i="13"/>
  <c r="K14" i="13"/>
  <c r="J14" i="13"/>
  <c r="I14" i="13"/>
  <c r="H14" i="13"/>
  <c r="G14" i="13"/>
  <c r="F14" i="13"/>
  <c r="E14" i="13"/>
  <c r="D14" i="13"/>
  <c r="C14" i="13"/>
  <c r="B14" i="13"/>
  <c r="A14" i="13"/>
  <c r="K13" i="13"/>
  <c r="J13" i="13"/>
  <c r="H13" i="13"/>
  <c r="G13" i="13"/>
  <c r="F13" i="13"/>
  <c r="E13" i="13"/>
  <c r="D13" i="13"/>
  <c r="C13" i="13"/>
  <c r="B13" i="13"/>
  <c r="A13" i="13"/>
  <c r="A10" i="13"/>
  <c r="H19" i="12"/>
  <c r="G19" i="12"/>
  <c r="F19" i="12"/>
  <c r="E19" i="12"/>
  <c r="D19" i="12"/>
  <c r="C19" i="12"/>
  <c r="A19" i="12"/>
  <c r="H18" i="12"/>
  <c r="G18" i="12"/>
  <c r="F18" i="12"/>
  <c r="E18" i="12"/>
  <c r="D18" i="12"/>
  <c r="C18" i="12"/>
  <c r="A18" i="12"/>
  <c r="H17" i="12"/>
  <c r="G17" i="12"/>
  <c r="F17" i="12"/>
  <c r="E17" i="12"/>
  <c r="D17" i="12"/>
  <c r="C17" i="12"/>
  <c r="A17" i="12"/>
  <c r="H16" i="12"/>
  <c r="G16" i="12"/>
  <c r="F16" i="12"/>
  <c r="E16" i="12"/>
  <c r="D16" i="12"/>
  <c r="C16" i="12"/>
  <c r="A16" i="12"/>
  <c r="H15" i="12"/>
  <c r="G15" i="12"/>
  <c r="F15" i="12"/>
  <c r="E15" i="12"/>
  <c r="D15" i="12"/>
  <c r="C15" i="12"/>
  <c r="A15" i="12"/>
  <c r="H14" i="12"/>
  <c r="G14" i="12"/>
  <c r="F14" i="12"/>
  <c r="E14" i="12"/>
  <c r="D14" i="12"/>
  <c r="C14" i="12"/>
  <c r="B14" i="12"/>
  <c r="A14" i="12"/>
  <c r="H13" i="12"/>
  <c r="G13" i="12"/>
  <c r="F13" i="12"/>
  <c r="E13" i="12"/>
  <c r="D13" i="12"/>
  <c r="C13" i="12"/>
  <c r="B13" i="12"/>
  <c r="A13" i="12"/>
  <c r="A10" i="12"/>
  <c r="H19" i="11"/>
  <c r="G19" i="11"/>
  <c r="F19" i="11"/>
  <c r="E19" i="11"/>
  <c r="D19" i="11"/>
  <c r="C19" i="11"/>
  <c r="A19" i="11"/>
  <c r="H18" i="11"/>
  <c r="G18" i="11"/>
  <c r="F18" i="11"/>
  <c r="E18" i="11"/>
  <c r="D18" i="11"/>
  <c r="C18" i="11"/>
  <c r="A18" i="11"/>
  <c r="H17" i="11"/>
  <c r="G17" i="11"/>
  <c r="F17" i="11"/>
  <c r="E17" i="11"/>
  <c r="D17" i="11"/>
  <c r="C17" i="11"/>
  <c r="A17" i="11"/>
  <c r="H16" i="11"/>
  <c r="G16" i="11"/>
  <c r="F16" i="11"/>
  <c r="E16" i="11"/>
  <c r="D16" i="11"/>
  <c r="C16" i="11"/>
  <c r="A16" i="11"/>
  <c r="H15" i="11"/>
  <c r="G15" i="11"/>
  <c r="F15" i="11"/>
  <c r="E15" i="11"/>
  <c r="D15" i="11"/>
  <c r="C15" i="11"/>
  <c r="A15" i="11"/>
  <c r="H14" i="11"/>
  <c r="G14" i="11"/>
  <c r="F14" i="11"/>
  <c r="E14" i="11"/>
  <c r="D14" i="11"/>
  <c r="C14" i="11"/>
  <c r="B14" i="11"/>
  <c r="A14" i="11"/>
  <c r="H13" i="11"/>
  <c r="G13" i="11"/>
  <c r="F13" i="11"/>
  <c r="E13" i="11"/>
  <c r="D13" i="11"/>
  <c r="C13" i="11"/>
  <c r="B13" i="11"/>
  <c r="A13" i="11"/>
  <c r="A10" i="11"/>
  <c r="H99" i="10"/>
  <c r="G99" i="10"/>
  <c r="F99" i="10"/>
  <c r="E99" i="10"/>
  <c r="D99" i="10"/>
  <c r="C99" i="10"/>
  <c r="A99" i="10"/>
  <c r="H98" i="10"/>
  <c r="G98" i="10"/>
  <c r="F98" i="10"/>
  <c r="E98" i="10"/>
  <c r="D98" i="10"/>
  <c r="C98" i="10"/>
  <c r="A98" i="10"/>
  <c r="H97" i="10"/>
  <c r="G97" i="10"/>
  <c r="F97" i="10"/>
  <c r="E97" i="10"/>
  <c r="D97" i="10"/>
  <c r="C97" i="10"/>
  <c r="A97" i="10"/>
  <c r="H96" i="10"/>
  <c r="G96" i="10"/>
  <c r="F96" i="10"/>
  <c r="E96" i="10"/>
  <c r="D96" i="10"/>
  <c r="C96" i="10"/>
  <c r="A96" i="10"/>
  <c r="H95" i="10"/>
  <c r="G95" i="10"/>
  <c r="F95" i="10"/>
  <c r="E95" i="10"/>
  <c r="D95" i="10"/>
  <c r="C95" i="10"/>
  <c r="A95" i="10"/>
  <c r="H94" i="10"/>
  <c r="G94" i="10"/>
  <c r="F94" i="10"/>
  <c r="E94" i="10"/>
  <c r="D94" i="10"/>
  <c r="C94" i="10"/>
  <c r="A94" i="10"/>
  <c r="H93" i="10"/>
  <c r="G93" i="10"/>
  <c r="F93" i="10"/>
  <c r="E93" i="10"/>
  <c r="D93" i="10"/>
  <c r="C93" i="10"/>
  <c r="A93" i="10"/>
  <c r="H92" i="10"/>
  <c r="G92" i="10"/>
  <c r="F92" i="10"/>
  <c r="E92" i="10"/>
  <c r="D92" i="10"/>
  <c r="C92" i="10"/>
  <c r="A92" i="10"/>
  <c r="H91" i="10"/>
  <c r="G91" i="10"/>
  <c r="F91" i="10"/>
  <c r="E91" i="10"/>
  <c r="D91" i="10"/>
  <c r="C91" i="10"/>
  <c r="A91" i="10"/>
  <c r="H90" i="10"/>
  <c r="G90" i="10"/>
  <c r="F90" i="10"/>
  <c r="E90" i="10"/>
  <c r="D90" i="10"/>
  <c r="C90" i="10"/>
  <c r="A90" i="10"/>
  <c r="H89" i="10"/>
  <c r="G89" i="10"/>
  <c r="F89" i="10"/>
  <c r="E89" i="10"/>
  <c r="D89" i="10"/>
  <c r="C89" i="10"/>
  <c r="A89" i="10"/>
  <c r="H88" i="10"/>
  <c r="G88" i="10"/>
  <c r="F88" i="10"/>
  <c r="E88" i="10"/>
  <c r="D88" i="10"/>
  <c r="C88" i="10"/>
  <c r="A88" i="10"/>
  <c r="H87" i="10"/>
  <c r="G87" i="10"/>
  <c r="F87" i="10"/>
  <c r="E87" i="10"/>
  <c r="D87" i="10"/>
  <c r="C87" i="10"/>
  <c r="A87" i="10"/>
  <c r="H86" i="10"/>
  <c r="G86" i="10"/>
  <c r="F86" i="10"/>
  <c r="E86" i="10"/>
  <c r="D86" i="10"/>
  <c r="C86" i="10"/>
  <c r="A86" i="10"/>
  <c r="H85" i="10"/>
  <c r="G85" i="10"/>
  <c r="F85" i="10"/>
  <c r="E85" i="10"/>
  <c r="D85" i="10"/>
  <c r="C85" i="10"/>
  <c r="A85" i="10"/>
  <c r="H84" i="10"/>
  <c r="G84" i="10"/>
  <c r="F84" i="10"/>
  <c r="E84" i="10"/>
  <c r="D84" i="10"/>
  <c r="C84" i="10"/>
  <c r="A84" i="10"/>
  <c r="H83" i="10"/>
  <c r="G83" i="10"/>
  <c r="F83" i="10"/>
  <c r="E83" i="10"/>
  <c r="D83" i="10"/>
  <c r="C83" i="10"/>
  <c r="A83" i="10"/>
  <c r="H82" i="10"/>
  <c r="G82" i="10"/>
  <c r="F82" i="10"/>
  <c r="E82" i="10"/>
  <c r="D82" i="10"/>
  <c r="C82" i="10"/>
  <c r="A82" i="10"/>
  <c r="H81" i="10"/>
  <c r="G81" i="10"/>
  <c r="F81" i="10"/>
  <c r="E81" i="10"/>
  <c r="D81" i="10"/>
  <c r="C81" i="10"/>
  <c r="A81" i="10"/>
  <c r="H80" i="10"/>
  <c r="G80" i="10"/>
  <c r="F80" i="10"/>
  <c r="E80" i="10"/>
  <c r="D80" i="10"/>
  <c r="C80" i="10"/>
  <c r="A80" i="10"/>
  <c r="H79" i="10"/>
  <c r="G79" i="10"/>
  <c r="F79" i="10"/>
  <c r="E79" i="10"/>
  <c r="D79" i="10"/>
  <c r="C79" i="10"/>
  <c r="A79" i="10"/>
  <c r="H78" i="10"/>
  <c r="G78" i="10"/>
  <c r="F78" i="10"/>
  <c r="E78" i="10"/>
  <c r="D78" i="10"/>
  <c r="C78" i="10"/>
  <c r="A78" i="10"/>
  <c r="H77" i="10"/>
  <c r="G77" i="10"/>
  <c r="F77" i="10"/>
  <c r="E77" i="10"/>
  <c r="D77" i="10"/>
  <c r="C77" i="10"/>
  <c r="A77" i="10"/>
  <c r="H76" i="10"/>
  <c r="G76" i="10"/>
  <c r="F76" i="10"/>
  <c r="E76" i="10"/>
  <c r="D76" i="10"/>
  <c r="C76" i="10"/>
  <c r="A76" i="10"/>
  <c r="H75" i="10"/>
  <c r="G75" i="10"/>
  <c r="F75" i="10"/>
  <c r="E75" i="10"/>
  <c r="D75" i="10"/>
  <c r="C75" i="10"/>
  <c r="A75" i="10"/>
  <c r="H74" i="10"/>
  <c r="G74" i="10"/>
  <c r="F74" i="10"/>
  <c r="E74" i="10"/>
  <c r="D74" i="10"/>
  <c r="C74" i="10"/>
  <c r="A74" i="10"/>
  <c r="H73" i="10"/>
  <c r="G73" i="10"/>
  <c r="F73" i="10"/>
  <c r="E73" i="10"/>
  <c r="D73" i="10"/>
  <c r="C73" i="10"/>
  <c r="A73" i="10"/>
  <c r="H72" i="10"/>
  <c r="G72" i="10"/>
  <c r="F72" i="10"/>
  <c r="E72" i="10"/>
  <c r="D72" i="10"/>
  <c r="C72" i="10"/>
  <c r="A72" i="10"/>
  <c r="H71" i="10"/>
  <c r="G71" i="10"/>
  <c r="F71" i="10"/>
  <c r="E71" i="10"/>
  <c r="D71" i="10"/>
  <c r="C71" i="10"/>
  <c r="A71" i="10"/>
  <c r="H70" i="10"/>
  <c r="G70" i="10"/>
  <c r="F70" i="10"/>
  <c r="E70" i="10"/>
  <c r="D70" i="10"/>
  <c r="C70" i="10"/>
  <c r="A70" i="10"/>
  <c r="H69" i="10"/>
  <c r="G69" i="10"/>
  <c r="F69" i="10"/>
  <c r="E69" i="10"/>
  <c r="D69" i="10"/>
  <c r="C69" i="10"/>
  <c r="A69" i="10"/>
  <c r="H68" i="10"/>
  <c r="G68" i="10"/>
  <c r="F68" i="10"/>
  <c r="E68" i="10"/>
  <c r="D68" i="10"/>
  <c r="C68" i="10"/>
  <c r="A68" i="10"/>
  <c r="H67" i="10"/>
  <c r="G67" i="10"/>
  <c r="F67" i="10"/>
  <c r="E67" i="10"/>
  <c r="D67" i="10"/>
  <c r="C67" i="10"/>
  <c r="A67" i="10"/>
  <c r="H66" i="10"/>
  <c r="G66" i="10"/>
  <c r="F66" i="10"/>
  <c r="E66" i="10"/>
  <c r="D66" i="10"/>
  <c r="C66" i="10"/>
  <c r="A66" i="10"/>
  <c r="H65" i="10"/>
  <c r="G65" i="10"/>
  <c r="F65" i="10"/>
  <c r="E65" i="10"/>
  <c r="D65" i="10"/>
  <c r="C65" i="10"/>
  <c r="A65" i="10"/>
  <c r="H64" i="10"/>
  <c r="G64" i="10"/>
  <c r="F64" i="10"/>
  <c r="E64" i="10"/>
  <c r="D64" i="10"/>
  <c r="C64" i="10"/>
  <c r="A64" i="10"/>
  <c r="H63" i="10"/>
  <c r="G63" i="10"/>
  <c r="F63" i="10"/>
  <c r="E63" i="10"/>
  <c r="D63" i="10"/>
  <c r="C63" i="10"/>
  <c r="A63" i="10"/>
  <c r="H62" i="10"/>
  <c r="G62" i="10"/>
  <c r="F62" i="10"/>
  <c r="E62" i="10"/>
  <c r="D62" i="10"/>
  <c r="C62" i="10"/>
  <c r="A62" i="10"/>
  <c r="H61" i="10"/>
  <c r="G61" i="10"/>
  <c r="F61" i="10"/>
  <c r="E61" i="10"/>
  <c r="D61" i="10"/>
  <c r="C61" i="10"/>
  <c r="A61" i="10"/>
  <c r="H60" i="10"/>
  <c r="G60" i="10"/>
  <c r="F60" i="10"/>
  <c r="E60" i="10"/>
  <c r="D60" i="10"/>
  <c r="C60" i="10"/>
  <c r="A60" i="10"/>
  <c r="H59" i="10"/>
  <c r="G59" i="10"/>
  <c r="F59" i="10"/>
  <c r="E59" i="10"/>
  <c r="D59" i="10"/>
  <c r="C59" i="10"/>
  <c r="A59" i="10"/>
  <c r="H58" i="10"/>
  <c r="G58" i="10"/>
  <c r="F58" i="10"/>
  <c r="E58" i="10"/>
  <c r="D58" i="10"/>
  <c r="C58" i="10"/>
  <c r="A58" i="10"/>
  <c r="H57" i="10"/>
  <c r="G57" i="10"/>
  <c r="F57" i="10"/>
  <c r="E57" i="10"/>
  <c r="D57" i="10"/>
  <c r="C57" i="10"/>
  <c r="A57" i="10"/>
  <c r="H56" i="10"/>
  <c r="G56" i="10"/>
  <c r="F56" i="10"/>
  <c r="E56" i="10"/>
  <c r="D56" i="10"/>
  <c r="C56" i="10"/>
  <c r="A56" i="10"/>
  <c r="H55" i="10"/>
  <c r="G55" i="10"/>
  <c r="F55" i="10"/>
  <c r="E55" i="10"/>
  <c r="D55" i="10"/>
  <c r="C55" i="10"/>
  <c r="A55" i="10"/>
  <c r="H54" i="10"/>
  <c r="G54" i="10"/>
  <c r="F54" i="10"/>
  <c r="E54" i="10"/>
  <c r="D54" i="10"/>
  <c r="C54" i="10"/>
  <c r="A54" i="10"/>
  <c r="H53" i="10"/>
  <c r="G53" i="10"/>
  <c r="F53" i="10"/>
  <c r="E53" i="10"/>
  <c r="D53" i="10"/>
  <c r="C53" i="10"/>
  <c r="A53" i="10"/>
  <c r="H52" i="10"/>
  <c r="G52" i="10"/>
  <c r="F52" i="10"/>
  <c r="E52" i="10"/>
  <c r="D52" i="10"/>
  <c r="C52" i="10"/>
  <c r="A52" i="10"/>
  <c r="H51" i="10"/>
  <c r="G51" i="10"/>
  <c r="F51" i="10"/>
  <c r="E51" i="10"/>
  <c r="D51" i="10"/>
  <c r="C51" i="10"/>
  <c r="A51" i="10"/>
  <c r="H50" i="10"/>
  <c r="G50" i="10"/>
  <c r="F50" i="10"/>
  <c r="E50" i="10"/>
  <c r="D50" i="10"/>
  <c r="C50" i="10"/>
  <c r="A50" i="10"/>
  <c r="H49" i="10"/>
  <c r="G49" i="10"/>
  <c r="F49" i="10"/>
  <c r="E49" i="10"/>
  <c r="D49" i="10"/>
  <c r="C49" i="10"/>
  <c r="A49" i="10"/>
  <c r="H48" i="10"/>
  <c r="G48" i="10"/>
  <c r="F48" i="10"/>
  <c r="E48" i="10"/>
  <c r="D48" i="10"/>
  <c r="C48" i="10"/>
  <c r="A48" i="10"/>
  <c r="H47" i="10"/>
  <c r="G47" i="10"/>
  <c r="F47" i="10"/>
  <c r="E47" i="10"/>
  <c r="D47" i="10"/>
  <c r="C47" i="10"/>
  <c r="A47" i="10"/>
  <c r="H46" i="10"/>
  <c r="G46" i="10"/>
  <c r="F46" i="10"/>
  <c r="E46" i="10"/>
  <c r="D46" i="10"/>
  <c r="C46" i="10"/>
  <c r="A46" i="10"/>
  <c r="H45" i="10"/>
  <c r="G45" i="10"/>
  <c r="F45" i="10"/>
  <c r="E45" i="10"/>
  <c r="D45" i="10"/>
  <c r="C45" i="10"/>
  <c r="A45" i="10"/>
  <c r="H44" i="10"/>
  <c r="G44" i="10"/>
  <c r="F44" i="10"/>
  <c r="E44" i="10"/>
  <c r="D44" i="10"/>
  <c r="C44" i="10"/>
  <c r="A44" i="10"/>
  <c r="H43" i="10"/>
  <c r="G43" i="10"/>
  <c r="F43" i="10"/>
  <c r="E43" i="10"/>
  <c r="D43" i="10"/>
  <c r="C43" i="10"/>
  <c r="A43" i="10"/>
  <c r="H42" i="10"/>
  <c r="G42" i="10"/>
  <c r="F42" i="10"/>
  <c r="E42" i="10"/>
  <c r="D42" i="10"/>
  <c r="C42" i="10"/>
  <c r="B42" i="10"/>
  <c r="A42" i="10"/>
  <c r="H41" i="10"/>
  <c r="G41" i="10"/>
  <c r="F41" i="10"/>
  <c r="E41" i="10"/>
  <c r="D41" i="10"/>
  <c r="C41" i="10"/>
  <c r="B41" i="10"/>
  <c r="A41" i="10"/>
  <c r="H40" i="10"/>
  <c r="G40" i="10"/>
  <c r="F40" i="10"/>
  <c r="E40" i="10"/>
  <c r="D40" i="10"/>
  <c r="C40" i="10"/>
  <c r="B40" i="10"/>
  <c r="A40" i="10"/>
  <c r="H39" i="10"/>
  <c r="G39" i="10"/>
  <c r="F39" i="10"/>
  <c r="E39" i="10"/>
  <c r="D39" i="10"/>
  <c r="C39" i="10"/>
  <c r="B39" i="10"/>
  <c r="A39" i="10"/>
  <c r="H38" i="10"/>
  <c r="G38" i="10"/>
  <c r="F38" i="10"/>
  <c r="E38" i="10"/>
  <c r="D38" i="10"/>
  <c r="C38" i="10"/>
  <c r="B38" i="10"/>
  <c r="A38" i="10"/>
  <c r="H37" i="10"/>
  <c r="G37" i="10"/>
  <c r="F37" i="10"/>
  <c r="E37" i="10"/>
  <c r="D37" i="10"/>
  <c r="C37" i="10"/>
  <c r="B37" i="10"/>
  <c r="A37" i="10"/>
  <c r="H36" i="10"/>
  <c r="G36" i="10"/>
  <c r="F36" i="10"/>
  <c r="E36" i="10"/>
  <c r="D36" i="10"/>
  <c r="C36" i="10"/>
  <c r="B36" i="10"/>
  <c r="A36" i="10"/>
  <c r="H35" i="10"/>
  <c r="G35" i="10"/>
  <c r="F35" i="10"/>
  <c r="E35" i="10"/>
  <c r="D35" i="10"/>
  <c r="C35" i="10"/>
  <c r="B35" i="10"/>
  <c r="A35" i="10"/>
  <c r="H34" i="10"/>
  <c r="G34" i="10"/>
  <c r="F34" i="10"/>
  <c r="E34" i="10"/>
  <c r="D34" i="10"/>
  <c r="C34" i="10"/>
  <c r="B34" i="10"/>
  <c r="A34" i="10"/>
  <c r="H33" i="10"/>
  <c r="G33" i="10"/>
  <c r="F33" i="10"/>
  <c r="E33" i="10"/>
  <c r="D33" i="10"/>
  <c r="C33" i="10"/>
  <c r="B33" i="10"/>
  <c r="A33" i="10"/>
  <c r="H32" i="10"/>
  <c r="G32" i="10"/>
  <c r="F32" i="10"/>
  <c r="E32" i="10"/>
  <c r="D32" i="10"/>
  <c r="C32" i="10"/>
  <c r="B32" i="10"/>
  <c r="A32" i="10"/>
  <c r="H31" i="10"/>
  <c r="G31" i="10"/>
  <c r="F31" i="10"/>
  <c r="E31" i="10"/>
  <c r="D31" i="10"/>
  <c r="C31" i="10"/>
  <c r="B31" i="10"/>
  <c r="A31" i="10"/>
  <c r="H30" i="10"/>
  <c r="G30" i="10"/>
  <c r="F30" i="10"/>
  <c r="E30" i="10"/>
  <c r="D30" i="10"/>
  <c r="C30" i="10"/>
  <c r="B30" i="10"/>
  <c r="A30" i="10"/>
  <c r="H29" i="10"/>
  <c r="G29" i="10"/>
  <c r="F29" i="10"/>
  <c r="E29" i="10"/>
  <c r="D29" i="10"/>
  <c r="C29" i="10"/>
  <c r="B29" i="10"/>
  <c r="A29" i="10"/>
  <c r="H28" i="10"/>
  <c r="G28" i="10"/>
  <c r="F28" i="10"/>
  <c r="E28" i="10"/>
  <c r="D28" i="10"/>
  <c r="C28" i="10"/>
  <c r="B28" i="10"/>
  <c r="A28" i="10"/>
  <c r="H27" i="10"/>
  <c r="G27" i="10"/>
  <c r="F27" i="10"/>
  <c r="E27" i="10"/>
  <c r="D27" i="10"/>
  <c r="C27" i="10"/>
  <c r="B27" i="10"/>
  <c r="A27" i="10"/>
  <c r="H26" i="10"/>
  <c r="G26" i="10"/>
  <c r="F26" i="10"/>
  <c r="E26" i="10"/>
  <c r="D26" i="10"/>
  <c r="C26" i="10"/>
  <c r="B26" i="10"/>
  <c r="A26" i="10"/>
  <c r="H25" i="10"/>
  <c r="G25" i="10"/>
  <c r="F25" i="10"/>
  <c r="E25" i="10"/>
  <c r="D25" i="10"/>
  <c r="C25" i="10"/>
  <c r="B25" i="10"/>
  <c r="A25" i="10"/>
  <c r="H24" i="10"/>
  <c r="G24" i="10"/>
  <c r="F24" i="10"/>
  <c r="E24" i="10"/>
  <c r="D24" i="10"/>
  <c r="C24" i="10"/>
  <c r="B24" i="10"/>
  <c r="A24" i="10"/>
  <c r="H23" i="10"/>
  <c r="G23" i="10"/>
  <c r="F23" i="10"/>
  <c r="E23" i="10"/>
  <c r="D23" i="10"/>
  <c r="C23" i="10"/>
  <c r="B23" i="10"/>
  <c r="A23" i="10"/>
  <c r="H22" i="10"/>
  <c r="G22" i="10"/>
  <c r="F22" i="10"/>
  <c r="E22" i="10"/>
  <c r="D22" i="10"/>
  <c r="C22" i="10"/>
  <c r="B22" i="10"/>
  <c r="A22" i="10"/>
  <c r="H21" i="10"/>
  <c r="G21" i="10"/>
  <c r="F21" i="10"/>
  <c r="E21" i="10"/>
  <c r="D21" i="10"/>
  <c r="C21" i="10"/>
  <c r="B21" i="10"/>
  <c r="A21" i="10"/>
  <c r="H20" i="10"/>
  <c r="G20" i="10"/>
  <c r="F20" i="10"/>
  <c r="E20" i="10"/>
  <c r="D20" i="10"/>
  <c r="C20" i="10"/>
  <c r="B20" i="10"/>
  <c r="A20" i="10"/>
  <c r="H19" i="10"/>
  <c r="G19" i="10"/>
  <c r="F19" i="10"/>
  <c r="E19" i="10"/>
  <c r="D19" i="10"/>
  <c r="C19" i="10"/>
  <c r="B19" i="10"/>
  <c r="A19" i="10"/>
  <c r="H18" i="10"/>
  <c r="G18" i="10"/>
  <c r="F18" i="10"/>
  <c r="E18" i="10"/>
  <c r="D18" i="10"/>
  <c r="C18" i="10"/>
  <c r="B18" i="10"/>
  <c r="A18" i="10"/>
  <c r="H17" i="10"/>
  <c r="G17" i="10"/>
  <c r="F17" i="10"/>
  <c r="E17" i="10"/>
  <c r="D17" i="10"/>
  <c r="C17" i="10"/>
  <c r="B17" i="10"/>
  <c r="A17" i="10"/>
  <c r="H16" i="10"/>
  <c r="G16" i="10"/>
  <c r="F16" i="10"/>
  <c r="E16" i="10"/>
  <c r="D16" i="10"/>
  <c r="C16" i="10"/>
  <c r="B16" i="10"/>
  <c r="A16" i="10"/>
  <c r="H15" i="10"/>
  <c r="G15" i="10"/>
  <c r="F15" i="10"/>
  <c r="E15" i="10"/>
  <c r="D15" i="10"/>
  <c r="C15" i="10"/>
  <c r="B15" i="10"/>
  <c r="A15" i="10"/>
  <c r="H14" i="10"/>
  <c r="G14" i="10"/>
  <c r="F14" i="10"/>
  <c r="E14" i="10"/>
  <c r="D14" i="10"/>
  <c r="C14" i="10"/>
  <c r="B14" i="10"/>
  <c r="A14" i="10"/>
  <c r="H13" i="10"/>
  <c r="G13" i="10"/>
  <c r="F13" i="10"/>
  <c r="E13" i="10"/>
  <c r="D13" i="10"/>
  <c r="C13" i="10"/>
  <c r="B13" i="10"/>
  <c r="A13" i="10"/>
  <c r="A10" i="10"/>
  <c r="H99" i="9"/>
  <c r="G99" i="9"/>
  <c r="F99" i="9"/>
  <c r="E99" i="9"/>
  <c r="D99" i="9"/>
  <c r="C99" i="9"/>
  <c r="A99" i="9"/>
  <c r="H98" i="9"/>
  <c r="G98" i="9"/>
  <c r="F98" i="9"/>
  <c r="E98" i="9"/>
  <c r="D98" i="9"/>
  <c r="C98" i="9"/>
  <c r="A98" i="9"/>
  <c r="H97" i="9"/>
  <c r="G97" i="9"/>
  <c r="F97" i="9"/>
  <c r="E97" i="9"/>
  <c r="D97" i="9"/>
  <c r="C97" i="9"/>
  <c r="A97" i="9"/>
  <c r="H96" i="9"/>
  <c r="G96" i="9"/>
  <c r="F96" i="9"/>
  <c r="E96" i="9"/>
  <c r="D96" i="9"/>
  <c r="C96" i="9"/>
  <c r="A96" i="9"/>
  <c r="H95" i="9"/>
  <c r="G95" i="9"/>
  <c r="F95" i="9"/>
  <c r="E95" i="9"/>
  <c r="D95" i="9"/>
  <c r="C95" i="9"/>
  <c r="A95" i="9"/>
  <c r="H94" i="9"/>
  <c r="G94" i="9"/>
  <c r="F94" i="9"/>
  <c r="E94" i="9"/>
  <c r="D94" i="9"/>
  <c r="C94" i="9"/>
  <c r="A94" i="9"/>
  <c r="H93" i="9"/>
  <c r="G93" i="9"/>
  <c r="F93" i="9"/>
  <c r="E93" i="9"/>
  <c r="D93" i="9"/>
  <c r="C93" i="9"/>
  <c r="A93" i="9"/>
  <c r="H92" i="9"/>
  <c r="G92" i="9"/>
  <c r="F92" i="9"/>
  <c r="E92" i="9"/>
  <c r="D92" i="9"/>
  <c r="C92" i="9"/>
  <c r="A92" i="9"/>
  <c r="H91" i="9"/>
  <c r="G91" i="9"/>
  <c r="F91" i="9"/>
  <c r="E91" i="9"/>
  <c r="D91" i="9"/>
  <c r="C91" i="9"/>
  <c r="A91" i="9"/>
  <c r="H90" i="9"/>
  <c r="G90" i="9"/>
  <c r="F90" i="9"/>
  <c r="E90" i="9"/>
  <c r="D90" i="9"/>
  <c r="C90" i="9"/>
  <c r="A90" i="9"/>
  <c r="H89" i="9"/>
  <c r="G89" i="9"/>
  <c r="F89" i="9"/>
  <c r="E89" i="9"/>
  <c r="D89" i="9"/>
  <c r="C89" i="9"/>
  <c r="A89" i="9"/>
  <c r="H88" i="9"/>
  <c r="G88" i="9"/>
  <c r="F88" i="9"/>
  <c r="E88" i="9"/>
  <c r="D88" i="9"/>
  <c r="C88" i="9"/>
  <c r="A88" i="9"/>
  <c r="H87" i="9"/>
  <c r="G87" i="9"/>
  <c r="F87" i="9"/>
  <c r="E87" i="9"/>
  <c r="D87" i="9"/>
  <c r="C87" i="9"/>
  <c r="A87" i="9"/>
  <c r="H86" i="9"/>
  <c r="G86" i="9"/>
  <c r="F86" i="9"/>
  <c r="E86" i="9"/>
  <c r="D86" i="9"/>
  <c r="C86" i="9"/>
  <c r="B86" i="9"/>
  <c r="A86" i="9"/>
  <c r="H85" i="9"/>
  <c r="G85" i="9"/>
  <c r="F85" i="9"/>
  <c r="E85" i="9"/>
  <c r="D85" i="9"/>
  <c r="C85" i="9"/>
  <c r="B85" i="9"/>
  <c r="A85" i="9"/>
  <c r="H84" i="9"/>
  <c r="G84" i="9"/>
  <c r="F84" i="9"/>
  <c r="E84" i="9"/>
  <c r="D84" i="9"/>
  <c r="C84" i="9"/>
  <c r="B84" i="9"/>
  <c r="A84" i="9"/>
  <c r="H83" i="9"/>
  <c r="G83" i="9"/>
  <c r="F83" i="9"/>
  <c r="E83" i="9"/>
  <c r="D83" i="9"/>
  <c r="C83" i="9"/>
  <c r="B83" i="9"/>
  <c r="A83" i="9"/>
  <c r="H82" i="9"/>
  <c r="G82" i="9"/>
  <c r="F82" i="9"/>
  <c r="E82" i="9"/>
  <c r="D82" i="9"/>
  <c r="C82" i="9"/>
  <c r="B82" i="9"/>
  <c r="A82" i="9"/>
  <c r="H81" i="9"/>
  <c r="G81" i="9"/>
  <c r="F81" i="9"/>
  <c r="E81" i="9"/>
  <c r="D81" i="9"/>
  <c r="C81" i="9"/>
  <c r="B81" i="9"/>
  <c r="A81" i="9"/>
  <c r="H80" i="9"/>
  <c r="G80" i="9"/>
  <c r="F80" i="9"/>
  <c r="E80" i="9"/>
  <c r="D80" i="9"/>
  <c r="C80" i="9"/>
  <c r="B80" i="9"/>
  <c r="A80" i="9"/>
  <c r="H79" i="9"/>
  <c r="G79" i="9"/>
  <c r="F79" i="9"/>
  <c r="E79" i="9"/>
  <c r="D79" i="9"/>
  <c r="C79" i="9"/>
  <c r="B79" i="9"/>
  <c r="A79" i="9"/>
  <c r="H78" i="9"/>
  <c r="G78" i="9"/>
  <c r="F78" i="9"/>
  <c r="E78" i="9"/>
  <c r="D78" i="9"/>
  <c r="C78" i="9"/>
  <c r="B78" i="9"/>
  <c r="A78" i="9"/>
  <c r="H77" i="9"/>
  <c r="G77" i="9"/>
  <c r="F77" i="9"/>
  <c r="E77" i="9"/>
  <c r="D77" i="9"/>
  <c r="C77" i="9"/>
  <c r="B77" i="9"/>
  <c r="A77" i="9"/>
  <c r="H76" i="9"/>
  <c r="G76" i="9"/>
  <c r="F76" i="9"/>
  <c r="E76" i="9"/>
  <c r="D76" i="9"/>
  <c r="C76" i="9"/>
  <c r="B76" i="9"/>
  <c r="A76" i="9"/>
  <c r="H75" i="9"/>
  <c r="G75" i="9"/>
  <c r="F75" i="9"/>
  <c r="E75" i="9"/>
  <c r="D75" i="9"/>
  <c r="C75" i="9"/>
  <c r="B75" i="9"/>
  <c r="A75" i="9"/>
  <c r="H74" i="9"/>
  <c r="G74" i="9"/>
  <c r="F74" i="9"/>
  <c r="E74" i="9"/>
  <c r="D74" i="9"/>
  <c r="C74" i="9"/>
  <c r="B74" i="9"/>
  <c r="A74" i="9"/>
  <c r="H73" i="9"/>
  <c r="G73" i="9"/>
  <c r="F73" i="9"/>
  <c r="E73" i="9"/>
  <c r="D73" i="9"/>
  <c r="C73" i="9"/>
  <c r="B73" i="9"/>
  <c r="A73" i="9"/>
  <c r="H72" i="9"/>
  <c r="G72" i="9"/>
  <c r="F72" i="9"/>
  <c r="E72" i="9"/>
  <c r="D72" i="9"/>
  <c r="C72" i="9"/>
  <c r="B72" i="9"/>
  <c r="A72" i="9"/>
  <c r="H71" i="9"/>
  <c r="G71" i="9"/>
  <c r="F71" i="9"/>
  <c r="E71" i="9"/>
  <c r="D71" i="9"/>
  <c r="C71" i="9"/>
  <c r="B71" i="9"/>
  <c r="A71" i="9"/>
  <c r="H70" i="9"/>
  <c r="G70" i="9"/>
  <c r="F70" i="9"/>
  <c r="E70" i="9"/>
  <c r="D70" i="9"/>
  <c r="C70" i="9"/>
  <c r="B70" i="9"/>
  <c r="A70" i="9"/>
  <c r="H69" i="9"/>
  <c r="G69" i="9"/>
  <c r="F69" i="9"/>
  <c r="E69" i="9"/>
  <c r="D69" i="9"/>
  <c r="C69" i="9"/>
  <c r="B69" i="9"/>
  <c r="A69" i="9"/>
  <c r="H68" i="9"/>
  <c r="G68" i="9"/>
  <c r="F68" i="9"/>
  <c r="E68" i="9"/>
  <c r="D68" i="9"/>
  <c r="C68" i="9"/>
  <c r="B68" i="9"/>
  <c r="A68" i="9"/>
  <c r="H67" i="9"/>
  <c r="G67" i="9"/>
  <c r="F67" i="9"/>
  <c r="E67" i="9"/>
  <c r="D67" i="9"/>
  <c r="C67" i="9"/>
  <c r="B67" i="9"/>
  <c r="A67" i="9"/>
  <c r="H66" i="9"/>
  <c r="G66" i="9"/>
  <c r="F66" i="9"/>
  <c r="E66" i="9"/>
  <c r="D66" i="9"/>
  <c r="C66" i="9"/>
  <c r="B66" i="9"/>
  <c r="A66" i="9"/>
  <c r="H65" i="9"/>
  <c r="G65" i="9"/>
  <c r="F65" i="9"/>
  <c r="E65" i="9"/>
  <c r="D65" i="9"/>
  <c r="C65" i="9"/>
  <c r="B65" i="9"/>
  <c r="A65" i="9"/>
  <c r="H64" i="9"/>
  <c r="G64" i="9"/>
  <c r="F64" i="9"/>
  <c r="E64" i="9"/>
  <c r="D64" i="9"/>
  <c r="C64" i="9"/>
  <c r="B64" i="9"/>
  <c r="A64" i="9"/>
  <c r="H63" i="9"/>
  <c r="G63" i="9"/>
  <c r="F63" i="9"/>
  <c r="E63" i="9"/>
  <c r="D63" i="9"/>
  <c r="C63" i="9"/>
  <c r="B63" i="9"/>
  <c r="A63" i="9"/>
  <c r="H62" i="9"/>
  <c r="G62" i="9"/>
  <c r="F62" i="9"/>
  <c r="E62" i="9"/>
  <c r="D62" i="9"/>
  <c r="C62" i="9"/>
  <c r="B62" i="9"/>
  <c r="A62" i="9"/>
  <c r="H61" i="9"/>
  <c r="G61" i="9"/>
  <c r="F61" i="9"/>
  <c r="E61" i="9"/>
  <c r="D61" i="9"/>
  <c r="C61" i="9"/>
  <c r="B61" i="9"/>
  <c r="A61" i="9"/>
  <c r="H60" i="9"/>
  <c r="G60" i="9"/>
  <c r="F60" i="9"/>
  <c r="E60" i="9"/>
  <c r="D60" i="9"/>
  <c r="C60" i="9"/>
  <c r="B60" i="9"/>
  <c r="A60" i="9"/>
  <c r="H59" i="9"/>
  <c r="G59" i="9"/>
  <c r="F59" i="9"/>
  <c r="E59" i="9"/>
  <c r="D59" i="9"/>
  <c r="C59" i="9"/>
  <c r="B59" i="9"/>
  <c r="A59" i="9"/>
  <c r="H58" i="9"/>
  <c r="G58" i="9"/>
  <c r="F58" i="9"/>
  <c r="E58" i="9"/>
  <c r="D58" i="9"/>
  <c r="C58" i="9"/>
  <c r="B58" i="9"/>
  <c r="A58" i="9"/>
  <c r="H57" i="9"/>
  <c r="G57" i="9"/>
  <c r="F57" i="9"/>
  <c r="E57" i="9"/>
  <c r="D57" i="9"/>
  <c r="C57" i="9"/>
  <c r="B57" i="9"/>
  <c r="A57" i="9"/>
  <c r="H56" i="9"/>
  <c r="G56" i="9"/>
  <c r="F56" i="9"/>
  <c r="E56" i="9"/>
  <c r="D56" i="9"/>
  <c r="C56" i="9"/>
  <c r="B56" i="9"/>
  <c r="A56" i="9"/>
  <c r="H55" i="9"/>
  <c r="G55" i="9"/>
  <c r="F55" i="9"/>
  <c r="E55" i="9"/>
  <c r="D55" i="9"/>
  <c r="C55" i="9"/>
  <c r="B55" i="9"/>
  <c r="A55" i="9"/>
  <c r="H54" i="9"/>
  <c r="G54" i="9"/>
  <c r="F54" i="9"/>
  <c r="E54" i="9"/>
  <c r="D54" i="9"/>
  <c r="C54" i="9"/>
  <c r="B54" i="9"/>
  <c r="A54" i="9"/>
  <c r="H53" i="9"/>
  <c r="G53" i="9"/>
  <c r="F53" i="9"/>
  <c r="E53" i="9"/>
  <c r="D53" i="9"/>
  <c r="C53" i="9"/>
  <c r="B53" i="9"/>
  <c r="A53" i="9"/>
  <c r="H52" i="9"/>
  <c r="G52" i="9"/>
  <c r="F52" i="9"/>
  <c r="E52" i="9"/>
  <c r="D52" i="9"/>
  <c r="C52" i="9"/>
  <c r="B52" i="9"/>
  <c r="A52" i="9"/>
  <c r="H51" i="9"/>
  <c r="G51" i="9"/>
  <c r="F51" i="9"/>
  <c r="E51" i="9"/>
  <c r="D51" i="9"/>
  <c r="C51" i="9"/>
  <c r="B51" i="9"/>
  <c r="A51" i="9"/>
  <c r="H50" i="9"/>
  <c r="G50" i="9"/>
  <c r="F50" i="9"/>
  <c r="E50" i="9"/>
  <c r="D50" i="9"/>
  <c r="C50" i="9"/>
  <c r="B50" i="9"/>
  <c r="A50" i="9"/>
  <c r="H49" i="9"/>
  <c r="G49" i="9"/>
  <c r="F49" i="9"/>
  <c r="E49" i="9"/>
  <c r="D49" i="9"/>
  <c r="C49" i="9"/>
  <c r="B49" i="9"/>
  <c r="A49" i="9"/>
  <c r="H48" i="9"/>
  <c r="G48" i="9"/>
  <c r="F48" i="9"/>
  <c r="E48" i="9"/>
  <c r="D48" i="9"/>
  <c r="C48" i="9"/>
  <c r="B48" i="9"/>
  <c r="A48" i="9"/>
  <c r="H47" i="9"/>
  <c r="G47" i="9"/>
  <c r="F47" i="9"/>
  <c r="E47" i="9"/>
  <c r="D47" i="9"/>
  <c r="C47" i="9"/>
  <c r="B47" i="9"/>
  <c r="A47" i="9"/>
  <c r="H46" i="9"/>
  <c r="G46" i="9"/>
  <c r="F46" i="9"/>
  <c r="E46" i="9"/>
  <c r="D46" i="9"/>
  <c r="C46" i="9"/>
  <c r="B46" i="9"/>
  <c r="A46" i="9"/>
  <c r="H45" i="9"/>
  <c r="G45" i="9"/>
  <c r="F45" i="9"/>
  <c r="E45" i="9"/>
  <c r="D45" i="9"/>
  <c r="C45" i="9"/>
  <c r="B45" i="9"/>
  <c r="A45" i="9"/>
  <c r="H44" i="9"/>
  <c r="G44" i="9"/>
  <c r="F44" i="9"/>
  <c r="E44" i="9"/>
  <c r="D44" i="9"/>
  <c r="C44" i="9"/>
  <c r="B44" i="9"/>
  <c r="A44" i="9"/>
  <c r="H43" i="9"/>
  <c r="G43" i="9"/>
  <c r="F43" i="9"/>
  <c r="E43" i="9"/>
  <c r="D43" i="9"/>
  <c r="C43" i="9"/>
  <c r="B43" i="9"/>
  <c r="A43" i="9"/>
  <c r="H42" i="9"/>
  <c r="G42" i="9"/>
  <c r="F42" i="9"/>
  <c r="E42" i="9"/>
  <c r="D42" i="9"/>
  <c r="C42" i="9"/>
  <c r="B42" i="9"/>
  <c r="A42" i="9"/>
  <c r="H41" i="9"/>
  <c r="G41" i="9"/>
  <c r="F41" i="9"/>
  <c r="E41" i="9"/>
  <c r="D41" i="9"/>
  <c r="C41" i="9"/>
  <c r="B41" i="9"/>
  <c r="A41" i="9"/>
  <c r="H40" i="9"/>
  <c r="G40" i="9"/>
  <c r="F40" i="9"/>
  <c r="E40" i="9"/>
  <c r="D40" i="9"/>
  <c r="C40" i="9"/>
  <c r="B40" i="9"/>
  <c r="A40" i="9"/>
  <c r="H39" i="9"/>
  <c r="G39" i="9"/>
  <c r="F39" i="9"/>
  <c r="E39" i="9"/>
  <c r="D39" i="9"/>
  <c r="C39" i="9"/>
  <c r="B39" i="9"/>
  <c r="A39" i="9"/>
  <c r="H38" i="9"/>
  <c r="G38" i="9"/>
  <c r="F38" i="9"/>
  <c r="E38" i="9"/>
  <c r="D38" i="9"/>
  <c r="C38" i="9"/>
  <c r="B38" i="9"/>
  <c r="A38" i="9"/>
  <c r="H37" i="9"/>
  <c r="G37" i="9"/>
  <c r="F37" i="9"/>
  <c r="E37" i="9"/>
  <c r="D37" i="9"/>
  <c r="C37" i="9"/>
  <c r="B37" i="9"/>
  <c r="A37" i="9"/>
  <c r="H36" i="9"/>
  <c r="G36" i="9"/>
  <c r="F36" i="9"/>
  <c r="E36" i="9"/>
  <c r="D36" i="9"/>
  <c r="C36" i="9"/>
  <c r="B36" i="9"/>
  <c r="A36" i="9"/>
  <c r="H35" i="9"/>
  <c r="G35" i="9"/>
  <c r="F35" i="9"/>
  <c r="E35" i="9"/>
  <c r="D35" i="9"/>
  <c r="C35" i="9"/>
  <c r="B35" i="9"/>
  <c r="A35" i="9"/>
  <c r="H34" i="9"/>
  <c r="G34" i="9"/>
  <c r="F34" i="9"/>
  <c r="E34" i="9"/>
  <c r="D34" i="9"/>
  <c r="C34" i="9"/>
  <c r="B34" i="9"/>
  <c r="A34" i="9"/>
  <c r="H33" i="9"/>
  <c r="G33" i="9"/>
  <c r="F33" i="9"/>
  <c r="E33" i="9"/>
  <c r="D33" i="9"/>
  <c r="C33" i="9"/>
  <c r="B33" i="9"/>
  <c r="A33" i="9"/>
  <c r="H32" i="9"/>
  <c r="G32" i="9"/>
  <c r="F32" i="9"/>
  <c r="E32" i="9"/>
  <c r="D32" i="9"/>
  <c r="C32" i="9"/>
  <c r="B32" i="9"/>
  <c r="A32" i="9"/>
  <c r="H31" i="9"/>
  <c r="G31" i="9"/>
  <c r="F31" i="9"/>
  <c r="E31" i="9"/>
  <c r="D31" i="9"/>
  <c r="C31" i="9"/>
  <c r="B31" i="9"/>
  <c r="A31" i="9"/>
  <c r="H30" i="9"/>
  <c r="G30" i="9"/>
  <c r="F30" i="9"/>
  <c r="E30" i="9"/>
  <c r="D30" i="9"/>
  <c r="C30" i="9"/>
  <c r="B30" i="9"/>
  <c r="A30" i="9"/>
  <c r="H29" i="9"/>
  <c r="G29" i="9"/>
  <c r="F29" i="9"/>
  <c r="E29" i="9"/>
  <c r="D29" i="9"/>
  <c r="C29" i="9"/>
  <c r="B29" i="9"/>
  <c r="A29" i="9"/>
  <c r="H28" i="9"/>
  <c r="G28" i="9"/>
  <c r="F28" i="9"/>
  <c r="E28" i="9"/>
  <c r="D28" i="9"/>
  <c r="C28" i="9"/>
  <c r="B28" i="9"/>
  <c r="A28" i="9"/>
  <c r="H27" i="9"/>
  <c r="G27" i="9"/>
  <c r="F27" i="9"/>
  <c r="E27" i="9"/>
  <c r="D27" i="9"/>
  <c r="C27" i="9"/>
  <c r="B27" i="9"/>
  <c r="A27" i="9"/>
  <c r="H26" i="9"/>
  <c r="G26" i="9"/>
  <c r="F26" i="9"/>
  <c r="E26" i="9"/>
  <c r="D26" i="9"/>
  <c r="C26" i="9"/>
  <c r="B26" i="9"/>
  <c r="A26" i="9"/>
  <c r="H25" i="9"/>
  <c r="G25" i="9"/>
  <c r="F25" i="9"/>
  <c r="E25" i="9"/>
  <c r="D25" i="9"/>
  <c r="C25" i="9"/>
  <c r="B25" i="9"/>
  <c r="A25" i="9"/>
  <c r="H24" i="9"/>
  <c r="G24" i="9"/>
  <c r="F24" i="9"/>
  <c r="E24" i="9"/>
  <c r="D24" i="9"/>
  <c r="C24" i="9"/>
  <c r="B24" i="9"/>
  <c r="A24" i="9"/>
  <c r="H23" i="9"/>
  <c r="G23" i="9"/>
  <c r="F23" i="9"/>
  <c r="E23" i="9"/>
  <c r="D23" i="9"/>
  <c r="C23" i="9"/>
  <c r="B23" i="9"/>
  <c r="A23" i="9"/>
  <c r="H22" i="9"/>
  <c r="G22" i="9"/>
  <c r="F22" i="9"/>
  <c r="E22" i="9"/>
  <c r="D22" i="9"/>
  <c r="C22" i="9"/>
  <c r="B22" i="9"/>
  <c r="A22" i="9"/>
  <c r="H21" i="9"/>
  <c r="G21" i="9"/>
  <c r="F21" i="9"/>
  <c r="E21" i="9"/>
  <c r="D21" i="9"/>
  <c r="C21" i="9"/>
  <c r="B21" i="9"/>
  <c r="A21" i="9"/>
  <c r="H20" i="9"/>
  <c r="G20" i="9"/>
  <c r="F20" i="9"/>
  <c r="E20" i="9"/>
  <c r="D20" i="9"/>
  <c r="C20" i="9"/>
  <c r="B20" i="9"/>
  <c r="A20" i="9"/>
  <c r="H19" i="9"/>
  <c r="G19" i="9"/>
  <c r="F19" i="9"/>
  <c r="E19" i="9"/>
  <c r="D19" i="9"/>
  <c r="C19" i="9"/>
  <c r="B19" i="9"/>
  <c r="A19" i="9"/>
  <c r="H18" i="9"/>
  <c r="G18" i="9"/>
  <c r="F18" i="9"/>
  <c r="E18" i="9"/>
  <c r="D18" i="9"/>
  <c r="C18" i="9"/>
  <c r="B18" i="9"/>
  <c r="A18" i="9"/>
  <c r="H17" i="9"/>
  <c r="G17" i="9"/>
  <c r="F17" i="9"/>
  <c r="E17" i="9"/>
  <c r="D17" i="9"/>
  <c r="C17" i="9"/>
  <c r="B17" i="9"/>
  <c r="A17" i="9"/>
  <c r="H16" i="9"/>
  <c r="G16" i="9"/>
  <c r="F16" i="9"/>
  <c r="E16" i="9"/>
  <c r="D16" i="9"/>
  <c r="C16" i="9"/>
  <c r="B16" i="9"/>
  <c r="A16" i="9"/>
  <c r="H15" i="9"/>
  <c r="G15" i="9"/>
  <c r="F15" i="9"/>
  <c r="E15" i="9"/>
  <c r="D15" i="9"/>
  <c r="C15" i="9"/>
  <c r="B15" i="9"/>
  <c r="A15" i="9"/>
  <c r="H14" i="9"/>
  <c r="G14" i="9"/>
  <c r="F14" i="9"/>
  <c r="E14" i="9"/>
  <c r="D14" i="9"/>
  <c r="C14" i="9"/>
  <c r="B14" i="9"/>
  <c r="A14" i="9"/>
  <c r="H13" i="9"/>
  <c r="G13" i="9"/>
  <c r="F13" i="9"/>
  <c r="E13" i="9"/>
  <c r="D13" i="9"/>
  <c r="C13" i="9"/>
  <c r="B13" i="9"/>
  <c r="A13" i="9"/>
  <c r="A10" i="9"/>
  <c r="H999" i="8"/>
  <c r="G999" i="8"/>
  <c r="F999" i="8"/>
  <c r="E999" i="8"/>
  <c r="D999" i="8"/>
  <c r="C999" i="8"/>
  <c r="A999" i="8"/>
  <c r="H998" i="8"/>
  <c r="G998" i="8"/>
  <c r="F998" i="8"/>
  <c r="E998" i="8"/>
  <c r="D998" i="8"/>
  <c r="C998" i="8"/>
  <c r="A998" i="8"/>
  <c r="H997" i="8"/>
  <c r="G997" i="8"/>
  <c r="F997" i="8"/>
  <c r="E997" i="8"/>
  <c r="D997" i="8"/>
  <c r="C997" i="8"/>
  <c r="A997" i="8"/>
  <c r="H996" i="8"/>
  <c r="G996" i="8"/>
  <c r="F996" i="8"/>
  <c r="E996" i="8"/>
  <c r="D996" i="8"/>
  <c r="C996" i="8"/>
  <c r="A996" i="8"/>
  <c r="H995" i="8"/>
  <c r="G995" i="8"/>
  <c r="F995" i="8"/>
  <c r="E995" i="8"/>
  <c r="D995" i="8"/>
  <c r="C995" i="8"/>
  <c r="A995" i="8"/>
  <c r="H994" i="8"/>
  <c r="G994" i="8"/>
  <c r="F994" i="8"/>
  <c r="E994" i="8"/>
  <c r="D994" i="8"/>
  <c r="C994" i="8"/>
  <c r="A994" i="8"/>
  <c r="H993" i="8"/>
  <c r="G993" i="8"/>
  <c r="F993" i="8"/>
  <c r="E993" i="8"/>
  <c r="D993" i="8"/>
  <c r="C993" i="8"/>
  <c r="A993" i="8"/>
  <c r="H992" i="8"/>
  <c r="G992" i="8"/>
  <c r="F992" i="8"/>
  <c r="E992" i="8"/>
  <c r="D992" i="8"/>
  <c r="C992" i="8"/>
  <c r="A992" i="8"/>
  <c r="H991" i="8"/>
  <c r="G991" i="8"/>
  <c r="F991" i="8"/>
  <c r="E991" i="8"/>
  <c r="D991" i="8"/>
  <c r="C991" i="8"/>
  <c r="A991" i="8"/>
  <c r="H990" i="8"/>
  <c r="G990" i="8"/>
  <c r="F990" i="8"/>
  <c r="E990" i="8"/>
  <c r="D990" i="8"/>
  <c r="C990" i="8"/>
  <c r="A990" i="8"/>
  <c r="H989" i="8"/>
  <c r="G989" i="8"/>
  <c r="F989" i="8"/>
  <c r="E989" i="8"/>
  <c r="D989" i="8"/>
  <c r="C989" i="8"/>
  <c r="A989" i="8"/>
  <c r="H988" i="8"/>
  <c r="G988" i="8"/>
  <c r="F988" i="8"/>
  <c r="E988" i="8"/>
  <c r="D988" i="8"/>
  <c r="C988" i="8"/>
  <c r="A988" i="8"/>
  <c r="H987" i="8"/>
  <c r="G987" i="8"/>
  <c r="F987" i="8"/>
  <c r="E987" i="8"/>
  <c r="D987" i="8"/>
  <c r="C987" i="8"/>
  <c r="A987" i="8"/>
  <c r="H986" i="8"/>
  <c r="G986" i="8"/>
  <c r="F986" i="8"/>
  <c r="E986" i="8"/>
  <c r="D986" i="8"/>
  <c r="C986" i="8"/>
  <c r="A986" i="8"/>
  <c r="H985" i="8"/>
  <c r="G985" i="8"/>
  <c r="F985" i="8"/>
  <c r="E985" i="8"/>
  <c r="D985" i="8"/>
  <c r="C985" i="8"/>
  <c r="A985" i="8"/>
  <c r="H984" i="8"/>
  <c r="G984" i="8"/>
  <c r="F984" i="8"/>
  <c r="E984" i="8"/>
  <c r="D984" i="8"/>
  <c r="C984" i="8"/>
  <c r="A984" i="8"/>
  <c r="H983" i="8"/>
  <c r="G983" i="8"/>
  <c r="F983" i="8"/>
  <c r="E983" i="8"/>
  <c r="D983" i="8"/>
  <c r="C983" i="8"/>
  <c r="A983" i="8"/>
  <c r="H982" i="8"/>
  <c r="G982" i="8"/>
  <c r="F982" i="8"/>
  <c r="E982" i="8"/>
  <c r="D982" i="8"/>
  <c r="C982" i="8"/>
  <c r="A982" i="8"/>
  <c r="H981" i="8"/>
  <c r="G981" i="8"/>
  <c r="F981" i="8"/>
  <c r="E981" i="8"/>
  <c r="D981" i="8"/>
  <c r="C981" i="8"/>
  <c r="A981" i="8"/>
  <c r="H980" i="8"/>
  <c r="G980" i="8"/>
  <c r="F980" i="8"/>
  <c r="E980" i="8"/>
  <c r="D980" i="8"/>
  <c r="C980" i="8"/>
  <c r="A980" i="8"/>
  <c r="H979" i="8"/>
  <c r="G979" i="8"/>
  <c r="F979" i="8"/>
  <c r="E979" i="8"/>
  <c r="D979" i="8"/>
  <c r="C979" i="8"/>
  <c r="A979" i="8"/>
  <c r="H978" i="8"/>
  <c r="G978" i="8"/>
  <c r="F978" i="8"/>
  <c r="E978" i="8"/>
  <c r="D978" i="8"/>
  <c r="C978" i="8"/>
  <c r="A978" i="8"/>
  <c r="H977" i="8"/>
  <c r="G977" i="8"/>
  <c r="F977" i="8"/>
  <c r="E977" i="8"/>
  <c r="D977" i="8"/>
  <c r="C977" i="8"/>
  <c r="A977" i="8"/>
  <c r="H976" i="8"/>
  <c r="G976" i="8"/>
  <c r="F976" i="8"/>
  <c r="E976" i="8"/>
  <c r="D976" i="8"/>
  <c r="C976" i="8"/>
  <c r="A976" i="8"/>
  <c r="H975" i="8"/>
  <c r="G975" i="8"/>
  <c r="F975" i="8"/>
  <c r="E975" i="8"/>
  <c r="D975" i="8"/>
  <c r="C975" i="8"/>
  <c r="A975" i="8"/>
  <c r="H974" i="8"/>
  <c r="G974" i="8"/>
  <c r="F974" i="8"/>
  <c r="E974" i="8"/>
  <c r="D974" i="8"/>
  <c r="C974" i="8"/>
  <c r="A974" i="8"/>
  <c r="H973" i="8"/>
  <c r="G973" i="8"/>
  <c r="F973" i="8"/>
  <c r="E973" i="8"/>
  <c r="D973" i="8"/>
  <c r="C973" i="8"/>
  <c r="A973" i="8"/>
  <c r="H972" i="8"/>
  <c r="G972" i="8"/>
  <c r="F972" i="8"/>
  <c r="E972" i="8"/>
  <c r="D972" i="8"/>
  <c r="C972" i="8"/>
  <c r="A972" i="8"/>
  <c r="H971" i="8"/>
  <c r="G971" i="8"/>
  <c r="F971" i="8"/>
  <c r="E971" i="8"/>
  <c r="D971" i="8"/>
  <c r="C971" i="8"/>
  <c r="A971" i="8"/>
  <c r="H970" i="8"/>
  <c r="G970" i="8"/>
  <c r="F970" i="8"/>
  <c r="E970" i="8"/>
  <c r="D970" i="8"/>
  <c r="C970" i="8"/>
  <c r="A970" i="8"/>
  <c r="H969" i="8"/>
  <c r="G969" i="8"/>
  <c r="F969" i="8"/>
  <c r="E969" i="8"/>
  <c r="D969" i="8"/>
  <c r="C969" i="8"/>
  <c r="A969" i="8"/>
  <c r="H968" i="8"/>
  <c r="G968" i="8"/>
  <c r="F968" i="8"/>
  <c r="E968" i="8"/>
  <c r="D968" i="8"/>
  <c r="C968" i="8"/>
  <c r="A968" i="8"/>
  <c r="H967" i="8"/>
  <c r="G967" i="8"/>
  <c r="F967" i="8"/>
  <c r="E967" i="8"/>
  <c r="D967" i="8"/>
  <c r="C967" i="8"/>
  <c r="A967" i="8"/>
  <c r="H966" i="8"/>
  <c r="G966" i="8"/>
  <c r="F966" i="8"/>
  <c r="E966" i="8"/>
  <c r="D966" i="8"/>
  <c r="C966" i="8"/>
  <c r="A966" i="8"/>
  <c r="H965" i="8"/>
  <c r="G965" i="8"/>
  <c r="F965" i="8"/>
  <c r="E965" i="8"/>
  <c r="D965" i="8"/>
  <c r="C965" i="8"/>
  <c r="A965" i="8"/>
  <c r="H964" i="8"/>
  <c r="G964" i="8"/>
  <c r="F964" i="8"/>
  <c r="E964" i="8"/>
  <c r="D964" i="8"/>
  <c r="C964" i="8"/>
  <c r="A964" i="8"/>
  <c r="H963" i="8"/>
  <c r="G963" i="8"/>
  <c r="F963" i="8"/>
  <c r="E963" i="8"/>
  <c r="D963" i="8"/>
  <c r="C963" i="8"/>
  <c r="A963" i="8"/>
  <c r="H962" i="8"/>
  <c r="G962" i="8"/>
  <c r="F962" i="8"/>
  <c r="E962" i="8"/>
  <c r="D962" i="8"/>
  <c r="C962" i="8"/>
  <c r="A962" i="8"/>
  <c r="H961" i="8"/>
  <c r="G961" i="8"/>
  <c r="F961" i="8"/>
  <c r="E961" i="8"/>
  <c r="D961" i="8"/>
  <c r="C961" i="8"/>
  <c r="A961" i="8"/>
  <c r="H960" i="8"/>
  <c r="G960" i="8"/>
  <c r="F960" i="8"/>
  <c r="E960" i="8"/>
  <c r="D960" i="8"/>
  <c r="C960" i="8"/>
  <c r="A960" i="8"/>
  <c r="H959" i="8"/>
  <c r="G959" i="8"/>
  <c r="F959" i="8"/>
  <c r="E959" i="8"/>
  <c r="D959" i="8"/>
  <c r="C959" i="8"/>
  <c r="A959" i="8"/>
  <c r="H958" i="8"/>
  <c r="G958" i="8"/>
  <c r="F958" i="8"/>
  <c r="E958" i="8"/>
  <c r="D958" i="8"/>
  <c r="C958" i="8"/>
  <c r="A958" i="8"/>
  <c r="H957" i="8"/>
  <c r="G957" i="8"/>
  <c r="F957" i="8"/>
  <c r="E957" i="8"/>
  <c r="D957" i="8"/>
  <c r="C957" i="8"/>
  <c r="A957" i="8"/>
  <c r="H956" i="8"/>
  <c r="G956" i="8"/>
  <c r="F956" i="8"/>
  <c r="E956" i="8"/>
  <c r="D956" i="8"/>
  <c r="C956" i="8"/>
  <c r="A956" i="8"/>
  <c r="H955" i="8"/>
  <c r="G955" i="8"/>
  <c r="F955" i="8"/>
  <c r="E955" i="8"/>
  <c r="D955" i="8"/>
  <c r="C955" i="8"/>
  <c r="A955" i="8"/>
  <c r="H954" i="8"/>
  <c r="G954" i="8"/>
  <c r="F954" i="8"/>
  <c r="E954" i="8"/>
  <c r="D954" i="8"/>
  <c r="C954" i="8"/>
  <c r="A954" i="8"/>
  <c r="H953" i="8"/>
  <c r="G953" i="8"/>
  <c r="F953" i="8"/>
  <c r="E953" i="8"/>
  <c r="D953" i="8"/>
  <c r="C953" i="8"/>
  <c r="A953" i="8"/>
  <c r="H952" i="8"/>
  <c r="G952" i="8"/>
  <c r="F952" i="8"/>
  <c r="E952" i="8"/>
  <c r="D952" i="8"/>
  <c r="C952" i="8"/>
  <c r="A952" i="8"/>
  <c r="H951" i="8"/>
  <c r="G951" i="8"/>
  <c r="F951" i="8"/>
  <c r="E951" i="8"/>
  <c r="D951" i="8"/>
  <c r="C951" i="8"/>
  <c r="A951" i="8"/>
  <c r="H950" i="8"/>
  <c r="G950" i="8"/>
  <c r="F950" i="8"/>
  <c r="E950" i="8"/>
  <c r="D950" i="8"/>
  <c r="C950" i="8"/>
  <c r="A950" i="8"/>
  <c r="H949" i="8"/>
  <c r="G949" i="8"/>
  <c r="F949" i="8"/>
  <c r="E949" i="8"/>
  <c r="D949" i="8"/>
  <c r="C949" i="8"/>
  <c r="A949" i="8"/>
  <c r="H948" i="8"/>
  <c r="G948" i="8"/>
  <c r="F948" i="8"/>
  <c r="E948" i="8"/>
  <c r="D948" i="8"/>
  <c r="C948" i="8"/>
  <c r="A948" i="8"/>
  <c r="H947" i="8"/>
  <c r="G947" i="8"/>
  <c r="F947" i="8"/>
  <c r="E947" i="8"/>
  <c r="D947" i="8"/>
  <c r="C947" i="8"/>
  <c r="A947" i="8"/>
  <c r="H946" i="8"/>
  <c r="G946" i="8"/>
  <c r="F946" i="8"/>
  <c r="E946" i="8"/>
  <c r="D946" i="8"/>
  <c r="C946" i="8"/>
  <c r="A946" i="8"/>
  <c r="H945" i="8"/>
  <c r="G945" i="8"/>
  <c r="F945" i="8"/>
  <c r="E945" i="8"/>
  <c r="D945" i="8"/>
  <c r="C945" i="8"/>
  <c r="A945" i="8"/>
  <c r="H944" i="8"/>
  <c r="G944" i="8"/>
  <c r="F944" i="8"/>
  <c r="E944" i="8"/>
  <c r="D944" i="8"/>
  <c r="C944" i="8"/>
  <c r="A944" i="8"/>
  <c r="H943" i="8"/>
  <c r="G943" i="8"/>
  <c r="F943" i="8"/>
  <c r="E943" i="8"/>
  <c r="D943" i="8"/>
  <c r="C943" i="8"/>
  <c r="A943" i="8"/>
  <c r="H942" i="8"/>
  <c r="G942" i="8"/>
  <c r="F942" i="8"/>
  <c r="E942" i="8"/>
  <c r="D942" i="8"/>
  <c r="C942" i="8"/>
  <c r="A942" i="8"/>
  <c r="H941" i="8"/>
  <c r="G941" i="8"/>
  <c r="F941" i="8"/>
  <c r="E941" i="8"/>
  <c r="D941" i="8"/>
  <c r="C941" i="8"/>
  <c r="A941" i="8"/>
  <c r="H940" i="8"/>
  <c r="G940" i="8"/>
  <c r="F940" i="8"/>
  <c r="E940" i="8"/>
  <c r="D940" i="8"/>
  <c r="C940" i="8"/>
  <c r="A940" i="8"/>
  <c r="H939" i="8"/>
  <c r="G939" i="8"/>
  <c r="F939" i="8"/>
  <c r="E939" i="8"/>
  <c r="D939" i="8"/>
  <c r="C939" i="8"/>
  <c r="A939" i="8"/>
  <c r="H938" i="8"/>
  <c r="G938" i="8"/>
  <c r="F938" i="8"/>
  <c r="E938" i="8"/>
  <c r="D938" i="8"/>
  <c r="C938" i="8"/>
  <c r="A938" i="8"/>
  <c r="H937" i="8"/>
  <c r="G937" i="8"/>
  <c r="F937" i="8"/>
  <c r="E937" i="8"/>
  <c r="D937" i="8"/>
  <c r="C937" i="8"/>
  <c r="A937" i="8"/>
  <c r="H936" i="8"/>
  <c r="G936" i="8"/>
  <c r="F936" i="8"/>
  <c r="E936" i="8"/>
  <c r="D936" i="8"/>
  <c r="C936" i="8"/>
  <c r="A936" i="8"/>
  <c r="H935" i="8"/>
  <c r="G935" i="8"/>
  <c r="F935" i="8"/>
  <c r="E935" i="8"/>
  <c r="D935" i="8"/>
  <c r="C935" i="8"/>
  <c r="A935" i="8"/>
  <c r="H934" i="8"/>
  <c r="G934" i="8"/>
  <c r="F934" i="8"/>
  <c r="E934" i="8"/>
  <c r="D934" i="8"/>
  <c r="C934" i="8"/>
  <c r="A934" i="8"/>
  <c r="H933" i="8"/>
  <c r="G933" i="8"/>
  <c r="F933" i="8"/>
  <c r="E933" i="8"/>
  <c r="D933" i="8"/>
  <c r="C933" i="8"/>
  <c r="A933" i="8"/>
  <c r="H932" i="8"/>
  <c r="G932" i="8"/>
  <c r="F932" i="8"/>
  <c r="E932" i="8"/>
  <c r="D932" i="8"/>
  <c r="C932" i="8"/>
  <c r="A932" i="8"/>
  <c r="H931" i="8"/>
  <c r="G931" i="8"/>
  <c r="F931" i="8"/>
  <c r="E931" i="8"/>
  <c r="D931" i="8"/>
  <c r="C931" i="8"/>
  <c r="A931" i="8"/>
  <c r="H930" i="8"/>
  <c r="G930" i="8"/>
  <c r="F930" i="8"/>
  <c r="E930" i="8"/>
  <c r="D930" i="8"/>
  <c r="C930" i="8"/>
  <c r="A930" i="8"/>
  <c r="H929" i="8"/>
  <c r="G929" i="8"/>
  <c r="F929" i="8"/>
  <c r="E929" i="8"/>
  <c r="D929" i="8"/>
  <c r="C929" i="8"/>
  <c r="A929" i="8"/>
  <c r="H928" i="8"/>
  <c r="G928" i="8"/>
  <c r="F928" i="8"/>
  <c r="E928" i="8"/>
  <c r="D928" i="8"/>
  <c r="C928" i="8"/>
  <c r="A928" i="8"/>
  <c r="H927" i="8"/>
  <c r="G927" i="8"/>
  <c r="F927" i="8"/>
  <c r="E927" i="8"/>
  <c r="D927" i="8"/>
  <c r="C927" i="8"/>
  <c r="A927" i="8"/>
  <c r="H926" i="8"/>
  <c r="G926" i="8"/>
  <c r="F926" i="8"/>
  <c r="E926" i="8"/>
  <c r="D926" i="8"/>
  <c r="C926" i="8"/>
  <c r="A926" i="8"/>
  <c r="H925" i="8"/>
  <c r="G925" i="8"/>
  <c r="F925" i="8"/>
  <c r="E925" i="8"/>
  <c r="D925" i="8"/>
  <c r="C925" i="8"/>
  <c r="A925" i="8"/>
  <c r="H924" i="8"/>
  <c r="G924" i="8"/>
  <c r="F924" i="8"/>
  <c r="E924" i="8"/>
  <c r="D924" i="8"/>
  <c r="C924" i="8"/>
  <c r="A924" i="8"/>
  <c r="H923" i="8"/>
  <c r="G923" i="8"/>
  <c r="F923" i="8"/>
  <c r="E923" i="8"/>
  <c r="D923" i="8"/>
  <c r="C923" i="8"/>
  <c r="A923" i="8"/>
  <c r="H922" i="8"/>
  <c r="G922" i="8"/>
  <c r="F922" i="8"/>
  <c r="E922" i="8"/>
  <c r="D922" i="8"/>
  <c r="C922" i="8"/>
  <c r="A922" i="8"/>
  <c r="H921" i="8"/>
  <c r="G921" i="8"/>
  <c r="F921" i="8"/>
  <c r="E921" i="8"/>
  <c r="D921" i="8"/>
  <c r="C921" i="8"/>
  <c r="A921" i="8"/>
  <c r="H920" i="8"/>
  <c r="G920" i="8"/>
  <c r="F920" i="8"/>
  <c r="E920" i="8"/>
  <c r="D920" i="8"/>
  <c r="C920" i="8"/>
  <c r="A920" i="8"/>
  <c r="H919" i="8"/>
  <c r="G919" i="8"/>
  <c r="F919" i="8"/>
  <c r="E919" i="8"/>
  <c r="D919" i="8"/>
  <c r="C919" i="8"/>
  <c r="A919" i="8"/>
  <c r="H918" i="8"/>
  <c r="G918" i="8"/>
  <c r="F918" i="8"/>
  <c r="E918" i="8"/>
  <c r="D918" i="8"/>
  <c r="C918" i="8"/>
  <c r="A918" i="8"/>
  <c r="H917" i="8"/>
  <c r="G917" i="8"/>
  <c r="F917" i="8"/>
  <c r="E917" i="8"/>
  <c r="D917" i="8"/>
  <c r="C917" i="8"/>
  <c r="A917" i="8"/>
  <c r="H916" i="8"/>
  <c r="G916" i="8"/>
  <c r="F916" i="8"/>
  <c r="E916" i="8"/>
  <c r="D916" i="8"/>
  <c r="C916" i="8"/>
  <c r="A916" i="8"/>
  <c r="H915" i="8"/>
  <c r="G915" i="8"/>
  <c r="F915" i="8"/>
  <c r="E915" i="8"/>
  <c r="D915" i="8"/>
  <c r="C915" i="8"/>
  <c r="A915" i="8"/>
  <c r="H914" i="8"/>
  <c r="G914" i="8"/>
  <c r="F914" i="8"/>
  <c r="E914" i="8"/>
  <c r="D914" i="8"/>
  <c r="C914" i="8"/>
  <c r="A914" i="8"/>
  <c r="H913" i="8"/>
  <c r="G913" i="8"/>
  <c r="F913" i="8"/>
  <c r="E913" i="8"/>
  <c r="D913" i="8"/>
  <c r="C913" i="8"/>
  <c r="A913" i="8"/>
  <c r="H912" i="8"/>
  <c r="G912" i="8"/>
  <c r="F912" i="8"/>
  <c r="E912" i="8"/>
  <c r="D912" i="8"/>
  <c r="C912" i="8"/>
  <c r="A912" i="8"/>
  <c r="H911" i="8"/>
  <c r="G911" i="8"/>
  <c r="F911" i="8"/>
  <c r="E911" i="8"/>
  <c r="D911" i="8"/>
  <c r="C911" i="8"/>
  <c r="A911" i="8"/>
  <c r="H910" i="8"/>
  <c r="G910" i="8"/>
  <c r="F910" i="8"/>
  <c r="E910" i="8"/>
  <c r="D910" i="8"/>
  <c r="C910" i="8"/>
  <c r="A910" i="8"/>
  <c r="H909" i="8"/>
  <c r="G909" i="8"/>
  <c r="F909" i="8"/>
  <c r="E909" i="8"/>
  <c r="D909" i="8"/>
  <c r="C909" i="8"/>
  <c r="A909" i="8"/>
  <c r="H908" i="8"/>
  <c r="G908" i="8"/>
  <c r="F908" i="8"/>
  <c r="E908" i="8"/>
  <c r="D908" i="8"/>
  <c r="C908" i="8"/>
  <c r="A908" i="8"/>
  <c r="H907" i="8"/>
  <c r="G907" i="8"/>
  <c r="F907" i="8"/>
  <c r="E907" i="8"/>
  <c r="D907" i="8"/>
  <c r="C907" i="8"/>
  <c r="A907" i="8"/>
  <c r="H906" i="8"/>
  <c r="G906" i="8"/>
  <c r="F906" i="8"/>
  <c r="E906" i="8"/>
  <c r="D906" i="8"/>
  <c r="C906" i="8"/>
  <c r="A906" i="8"/>
  <c r="H905" i="8"/>
  <c r="G905" i="8"/>
  <c r="F905" i="8"/>
  <c r="E905" i="8"/>
  <c r="D905" i="8"/>
  <c r="C905" i="8"/>
  <c r="A905" i="8"/>
  <c r="H904" i="8"/>
  <c r="G904" i="8"/>
  <c r="F904" i="8"/>
  <c r="E904" i="8"/>
  <c r="D904" i="8"/>
  <c r="C904" i="8"/>
  <c r="A904" i="8"/>
  <c r="H903" i="8"/>
  <c r="G903" i="8"/>
  <c r="F903" i="8"/>
  <c r="E903" i="8"/>
  <c r="D903" i="8"/>
  <c r="C903" i="8"/>
  <c r="A903" i="8"/>
  <c r="H902" i="8"/>
  <c r="G902" i="8"/>
  <c r="F902" i="8"/>
  <c r="E902" i="8"/>
  <c r="D902" i="8"/>
  <c r="C902" i="8"/>
  <c r="A902" i="8"/>
  <c r="H901" i="8"/>
  <c r="G901" i="8"/>
  <c r="F901" i="8"/>
  <c r="E901" i="8"/>
  <c r="D901" i="8"/>
  <c r="C901" i="8"/>
  <c r="A901" i="8"/>
  <c r="H900" i="8"/>
  <c r="G900" i="8"/>
  <c r="F900" i="8"/>
  <c r="E900" i="8"/>
  <c r="D900" i="8"/>
  <c r="C900" i="8"/>
  <c r="A900" i="8"/>
  <c r="H899" i="8"/>
  <c r="G899" i="8"/>
  <c r="F899" i="8"/>
  <c r="E899" i="8"/>
  <c r="D899" i="8"/>
  <c r="C899" i="8"/>
  <c r="A899" i="8"/>
  <c r="H898" i="8"/>
  <c r="G898" i="8"/>
  <c r="F898" i="8"/>
  <c r="E898" i="8"/>
  <c r="D898" i="8"/>
  <c r="C898" i="8"/>
  <c r="A898" i="8"/>
  <c r="H897" i="8"/>
  <c r="G897" i="8"/>
  <c r="F897" i="8"/>
  <c r="E897" i="8"/>
  <c r="D897" i="8"/>
  <c r="C897" i="8"/>
  <c r="A897" i="8"/>
  <c r="H896" i="8"/>
  <c r="G896" i="8"/>
  <c r="F896" i="8"/>
  <c r="E896" i="8"/>
  <c r="D896" i="8"/>
  <c r="C896" i="8"/>
  <c r="A896" i="8"/>
  <c r="H895" i="8"/>
  <c r="G895" i="8"/>
  <c r="F895" i="8"/>
  <c r="E895" i="8"/>
  <c r="D895" i="8"/>
  <c r="C895" i="8"/>
  <c r="A895" i="8"/>
  <c r="H894" i="8"/>
  <c r="G894" i="8"/>
  <c r="F894" i="8"/>
  <c r="E894" i="8"/>
  <c r="D894" i="8"/>
  <c r="C894" i="8"/>
  <c r="A894" i="8"/>
  <c r="H893" i="8"/>
  <c r="G893" i="8"/>
  <c r="F893" i="8"/>
  <c r="E893" i="8"/>
  <c r="D893" i="8"/>
  <c r="C893" i="8"/>
  <c r="A893" i="8"/>
  <c r="H892" i="8"/>
  <c r="G892" i="8"/>
  <c r="F892" i="8"/>
  <c r="E892" i="8"/>
  <c r="D892" i="8"/>
  <c r="C892" i="8"/>
  <c r="A892" i="8"/>
  <c r="H891" i="8"/>
  <c r="G891" i="8"/>
  <c r="F891" i="8"/>
  <c r="E891" i="8"/>
  <c r="D891" i="8"/>
  <c r="C891" i="8"/>
  <c r="A891" i="8"/>
  <c r="H890" i="8"/>
  <c r="G890" i="8"/>
  <c r="F890" i="8"/>
  <c r="E890" i="8"/>
  <c r="D890" i="8"/>
  <c r="C890" i="8"/>
  <c r="A890" i="8"/>
  <c r="H889" i="8"/>
  <c r="G889" i="8"/>
  <c r="F889" i="8"/>
  <c r="E889" i="8"/>
  <c r="D889" i="8"/>
  <c r="C889" i="8"/>
  <c r="A889" i="8"/>
  <c r="H888" i="8"/>
  <c r="G888" i="8"/>
  <c r="F888" i="8"/>
  <c r="E888" i="8"/>
  <c r="D888" i="8"/>
  <c r="C888" i="8"/>
  <c r="A888" i="8"/>
  <c r="H887" i="8"/>
  <c r="G887" i="8"/>
  <c r="F887" i="8"/>
  <c r="E887" i="8"/>
  <c r="D887" i="8"/>
  <c r="C887" i="8"/>
  <c r="A887" i="8"/>
  <c r="H886" i="8"/>
  <c r="G886" i="8"/>
  <c r="F886" i="8"/>
  <c r="E886" i="8"/>
  <c r="D886" i="8"/>
  <c r="C886" i="8"/>
  <c r="A886" i="8"/>
  <c r="H885" i="8"/>
  <c r="G885" i="8"/>
  <c r="F885" i="8"/>
  <c r="E885" i="8"/>
  <c r="D885" i="8"/>
  <c r="C885" i="8"/>
  <c r="A885" i="8"/>
  <c r="H884" i="8"/>
  <c r="G884" i="8"/>
  <c r="F884" i="8"/>
  <c r="E884" i="8"/>
  <c r="D884" i="8"/>
  <c r="C884" i="8"/>
  <c r="A884" i="8"/>
  <c r="H883" i="8"/>
  <c r="G883" i="8"/>
  <c r="F883" i="8"/>
  <c r="E883" i="8"/>
  <c r="D883" i="8"/>
  <c r="C883" i="8"/>
  <c r="A883" i="8"/>
  <c r="H882" i="8"/>
  <c r="G882" i="8"/>
  <c r="F882" i="8"/>
  <c r="E882" i="8"/>
  <c r="D882" i="8"/>
  <c r="C882" i="8"/>
  <c r="A882" i="8"/>
  <c r="H881" i="8"/>
  <c r="G881" i="8"/>
  <c r="F881" i="8"/>
  <c r="E881" i="8"/>
  <c r="D881" i="8"/>
  <c r="C881" i="8"/>
  <c r="A881" i="8"/>
  <c r="H880" i="8"/>
  <c r="G880" i="8"/>
  <c r="F880" i="8"/>
  <c r="E880" i="8"/>
  <c r="D880" i="8"/>
  <c r="C880" i="8"/>
  <c r="A880" i="8"/>
  <c r="H879" i="8"/>
  <c r="G879" i="8"/>
  <c r="F879" i="8"/>
  <c r="E879" i="8"/>
  <c r="D879" i="8"/>
  <c r="C879" i="8"/>
  <c r="A879" i="8"/>
  <c r="H878" i="8"/>
  <c r="G878" i="8"/>
  <c r="F878" i="8"/>
  <c r="E878" i="8"/>
  <c r="D878" i="8"/>
  <c r="C878" i="8"/>
  <c r="A878" i="8"/>
  <c r="H877" i="8"/>
  <c r="G877" i="8"/>
  <c r="F877" i="8"/>
  <c r="E877" i="8"/>
  <c r="D877" i="8"/>
  <c r="C877" i="8"/>
  <c r="A877" i="8"/>
  <c r="H876" i="8"/>
  <c r="G876" i="8"/>
  <c r="F876" i="8"/>
  <c r="E876" i="8"/>
  <c r="D876" i="8"/>
  <c r="C876" i="8"/>
  <c r="A876" i="8"/>
  <c r="H875" i="8"/>
  <c r="G875" i="8"/>
  <c r="F875" i="8"/>
  <c r="E875" i="8"/>
  <c r="D875" i="8"/>
  <c r="C875" i="8"/>
  <c r="A875" i="8"/>
  <c r="H874" i="8"/>
  <c r="G874" i="8"/>
  <c r="F874" i="8"/>
  <c r="E874" i="8"/>
  <c r="D874" i="8"/>
  <c r="C874" i="8"/>
  <c r="A874" i="8"/>
  <c r="H873" i="8"/>
  <c r="G873" i="8"/>
  <c r="F873" i="8"/>
  <c r="E873" i="8"/>
  <c r="D873" i="8"/>
  <c r="C873" i="8"/>
  <c r="A873" i="8"/>
  <c r="H872" i="8"/>
  <c r="G872" i="8"/>
  <c r="F872" i="8"/>
  <c r="E872" i="8"/>
  <c r="D872" i="8"/>
  <c r="C872" i="8"/>
  <c r="A872" i="8"/>
  <c r="H871" i="8"/>
  <c r="G871" i="8"/>
  <c r="F871" i="8"/>
  <c r="E871" i="8"/>
  <c r="D871" i="8"/>
  <c r="C871" i="8"/>
  <c r="A871" i="8"/>
  <c r="H870" i="8"/>
  <c r="G870" i="8"/>
  <c r="F870" i="8"/>
  <c r="E870" i="8"/>
  <c r="D870" i="8"/>
  <c r="C870" i="8"/>
  <c r="A870" i="8"/>
  <c r="H869" i="8"/>
  <c r="G869" i="8"/>
  <c r="F869" i="8"/>
  <c r="E869" i="8"/>
  <c r="D869" i="8"/>
  <c r="C869" i="8"/>
  <c r="A869" i="8"/>
  <c r="H868" i="8"/>
  <c r="G868" i="8"/>
  <c r="F868" i="8"/>
  <c r="E868" i="8"/>
  <c r="D868" i="8"/>
  <c r="C868" i="8"/>
  <c r="A868" i="8"/>
  <c r="H867" i="8"/>
  <c r="G867" i="8"/>
  <c r="F867" i="8"/>
  <c r="E867" i="8"/>
  <c r="D867" i="8"/>
  <c r="C867" i="8"/>
  <c r="A867" i="8"/>
  <c r="H866" i="8"/>
  <c r="G866" i="8"/>
  <c r="F866" i="8"/>
  <c r="E866" i="8"/>
  <c r="D866" i="8"/>
  <c r="C866" i="8"/>
  <c r="A866" i="8"/>
  <c r="H865" i="8"/>
  <c r="G865" i="8"/>
  <c r="F865" i="8"/>
  <c r="E865" i="8"/>
  <c r="D865" i="8"/>
  <c r="C865" i="8"/>
  <c r="A865" i="8"/>
  <c r="H864" i="8"/>
  <c r="G864" i="8"/>
  <c r="F864" i="8"/>
  <c r="E864" i="8"/>
  <c r="D864" i="8"/>
  <c r="C864" i="8"/>
  <c r="A864" i="8"/>
  <c r="H863" i="8"/>
  <c r="G863" i="8"/>
  <c r="F863" i="8"/>
  <c r="E863" i="8"/>
  <c r="D863" i="8"/>
  <c r="C863" i="8"/>
  <c r="A863" i="8"/>
  <c r="H862" i="8"/>
  <c r="G862" i="8"/>
  <c r="F862" i="8"/>
  <c r="E862" i="8"/>
  <c r="D862" i="8"/>
  <c r="C862" i="8"/>
  <c r="A862" i="8"/>
  <c r="H861" i="8"/>
  <c r="G861" i="8"/>
  <c r="F861" i="8"/>
  <c r="E861" i="8"/>
  <c r="D861" i="8"/>
  <c r="C861" i="8"/>
  <c r="A861" i="8"/>
  <c r="H860" i="8"/>
  <c r="G860" i="8"/>
  <c r="F860" i="8"/>
  <c r="E860" i="8"/>
  <c r="D860" i="8"/>
  <c r="C860" i="8"/>
  <c r="A860" i="8"/>
  <c r="H859" i="8"/>
  <c r="G859" i="8"/>
  <c r="F859" i="8"/>
  <c r="E859" i="8"/>
  <c r="D859" i="8"/>
  <c r="C859" i="8"/>
  <c r="A859" i="8"/>
  <c r="H858" i="8"/>
  <c r="G858" i="8"/>
  <c r="F858" i="8"/>
  <c r="E858" i="8"/>
  <c r="D858" i="8"/>
  <c r="C858" i="8"/>
  <c r="A858" i="8"/>
  <c r="H857" i="8"/>
  <c r="G857" i="8"/>
  <c r="F857" i="8"/>
  <c r="E857" i="8"/>
  <c r="D857" i="8"/>
  <c r="C857" i="8"/>
  <c r="A857" i="8"/>
  <c r="H856" i="8"/>
  <c r="G856" i="8"/>
  <c r="F856" i="8"/>
  <c r="E856" i="8"/>
  <c r="D856" i="8"/>
  <c r="C856" i="8"/>
  <c r="A856" i="8"/>
  <c r="H855" i="8"/>
  <c r="G855" i="8"/>
  <c r="F855" i="8"/>
  <c r="E855" i="8"/>
  <c r="D855" i="8"/>
  <c r="C855" i="8"/>
  <c r="A855" i="8"/>
  <c r="H854" i="8"/>
  <c r="G854" i="8"/>
  <c r="F854" i="8"/>
  <c r="E854" i="8"/>
  <c r="D854" i="8"/>
  <c r="C854" i="8"/>
  <c r="A854" i="8"/>
  <c r="H853" i="8"/>
  <c r="G853" i="8"/>
  <c r="F853" i="8"/>
  <c r="E853" i="8"/>
  <c r="D853" i="8"/>
  <c r="C853" i="8"/>
  <c r="A853" i="8"/>
  <c r="H852" i="8"/>
  <c r="G852" i="8"/>
  <c r="F852" i="8"/>
  <c r="E852" i="8"/>
  <c r="D852" i="8"/>
  <c r="C852" i="8"/>
  <c r="A852" i="8"/>
  <c r="H851" i="8"/>
  <c r="G851" i="8"/>
  <c r="F851" i="8"/>
  <c r="E851" i="8"/>
  <c r="D851" i="8"/>
  <c r="C851" i="8"/>
  <c r="A851" i="8"/>
  <c r="H850" i="8"/>
  <c r="G850" i="8"/>
  <c r="F850" i="8"/>
  <c r="E850" i="8"/>
  <c r="D850" i="8"/>
  <c r="C850" i="8"/>
  <c r="A850" i="8"/>
  <c r="H849" i="8"/>
  <c r="G849" i="8"/>
  <c r="F849" i="8"/>
  <c r="E849" i="8"/>
  <c r="D849" i="8"/>
  <c r="C849" i="8"/>
  <c r="A849" i="8"/>
  <c r="H848" i="8"/>
  <c r="G848" i="8"/>
  <c r="F848" i="8"/>
  <c r="E848" i="8"/>
  <c r="D848" i="8"/>
  <c r="C848" i="8"/>
  <c r="A848" i="8"/>
  <c r="H847" i="8"/>
  <c r="G847" i="8"/>
  <c r="F847" i="8"/>
  <c r="E847" i="8"/>
  <c r="D847" i="8"/>
  <c r="C847" i="8"/>
  <c r="A847" i="8"/>
  <c r="H846" i="8"/>
  <c r="G846" i="8"/>
  <c r="F846" i="8"/>
  <c r="E846" i="8"/>
  <c r="D846" i="8"/>
  <c r="C846" i="8"/>
  <c r="A846" i="8"/>
  <c r="H845" i="8"/>
  <c r="G845" i="8"/>
  <c r="F845" i="8"/>
  <c r="E845" i="8"/>
  <c r="D845" i="8"/>
  <c r="C845" i="8"/>
  <c r="A845" i="8"/>
  <c r="H844" i="8"/>
  <c r="G844" i="8"/>
  <c r="F844" i="8"/>
  <c r="E844" i="8"/>
  <c r="D844" i="8"/>
  <c r="C844" i="8"/>
  <c r="A844" i="8"/>
  <c r="H843" i="8"/>
  <c r="G843" i="8"/>
  <c r="F843" i="8"/>
  <c r="E843" i="8"/>
  <c r="D843" i="8"/>
  <c r="C843" i="8"/>
  <c r="A843" i="8"/>
  <c r="H842" i="8"/>
  <c r="G842" i="8"/>
  <c r="F842" i="8"/>
  <c r="E842" i="8"/>
  <c r="D842" i="8"/>
  <c r="C842" i="8"/>
  <c r="A842" i="8"/>
  <c r="H841" i="8"/>
  <c r="G841" i="8"/>
  <c r="F841" i="8"/>
  <c r="E841" i="8"/>
  <c r="D841" i="8"/>
  <c r="C841" i="8"/>
  <c r="A841" i="8"/>
  <c r="H840" i="8"/>
  <c r="G840" i="8"/>
  <c r="F840" i="8"/>
  <c r="E840" i="8"/>
  <c r="D840" i="8"/>
  <c r="C840" i="8"/>
  <c r="A840" i="8"/>
  <c r="H839" i="8"/>
  <c r="G839" i="8"/>
  <c r="F839" i="8"/>
  <c r="E839" i="8"/>
  <c r="D839" i="8"/>
  <c r="C839" i="8"/>
  <c r="A839" i="8"/>
  <c r="H838" i="8"/>
  <c r="G838" i="8"/>
  <c r="F838" i="8"/>
  <c r="E838" i="8"/>
  <c r="D838" i="8"/>
  <c r="C838" i="8"/>
  <c r="A838" i="8"/>
  <c r="H837" i="8"/>
  <c r="G837" i="8"/>
  <c r="F837" i="8"/>
  <c r="E837" i="8"/>
  <c r="D837" i="8"/>
  <c r="C837" i="8"/>
  <c r="A837" i="8"/>
  <c r="H836" i="8"/>
  <c r="G836" i="8"/>
  <c r="F836" i="8"/>
  <c r="E836" i="8"/>
  <c r="D836" i="8"/>
  <c r="C836" i="8"/>
  <c r="A836" i="8"/>
  <c r="H835" i="8"/>
  <c r="G835" i="8"/>
  <c r="F835" i="8"/>
  <c r="E835" i="8"/>
  <c r="D835" i="8"/>
  <c r="C835" i="8"/>
  <c r="A835" i="8"/>
  <c r="H834" i="8"/>
  <c r="G834" i="8"/>
  <c r="F834" i="8"/>
  <c r="E834" i="8"/>
  <c r="D834" i="8"/>
  <c r="C834" i="8"/>
  <c r="A834" i="8"/>
  <c r="H833" i="8"/>
  <c r="G833" i="8"/>
  <c r="F833" i="8"/>
  <c r="E833" i="8"/>
  <c r="D833" i="8"/>
  <c r="C833" i="8"/>
  <c r="A833" i="8"/>
  <c r="H832" i="8"/>
  <c r="G832" i="8"/>
  <c r="F832" i="8"/>
  <c r="E832" i="8"/>
  <c r="D832" i="8"/>
  <c r="C832" i="8"/>
  <c r="A832" i="8"/>
  <c r="H831" i="8"/>
  <c r="G831" i="8"/>
  <c r="F831" i="8"/>
  <c r="E831" i="8"/>
  <c r="D831" i="8"/>
  <c r="C831" i="8"/>
  <c r="A831" i="8"/>
  <c r="H830" i="8"/>
  <c r="G830" i="8"/>
  <c r="F830" i="8"/>
  <c r="E830" i="8"/>
  <c r="D830" i="8"/>
  <c r="C830" i="8"/>
  <c r="A830" i="8"/>
  <c r="H829" i="8"/>
  <c r="G829" i="8"/>
  <c r="F829" i="8"/>
  <c r="E829" i="8"/>
  <c r="D829" i="8"/>
  <c r="C829" i="8"/>
  <c r="A829" i="8"/>
  <c r="H828" i="8"/>
  <c r="G828" i="8"/>
  <c r="F828" i="8"/>
  <c r="E828" i="8"/>
  <c r="D828" i="8"/>
  <c r="C828" i="8"/>
  <c r="A828" i="8"/>
  <c r="H827" i="8"/>
  <c r="G827" i="8"/>
  <c r="F827" i="8"/>
  <c r="E827" i="8"/>
  <c r="D827" i="8"/>
  <c r="C827" i="8"/>
  <c r="A827" i="8"/>
  <c r="H826" i="8"/>
  <c r="G826" i="8"/>
  <c r="F826" i="8"/>
  <c r="E826" i="8"/>
  <c r="D826" i="8"/>
  <c r="C826" i="8"/>
  <c r="A826" i="8"/>
  <c r="H825" i="8"/>
  <c r="G825" i="8"/>
  <c r="F825" i="8"/>
  <c r="E825" i="8"/>
  <c r="D825" i="8"/>
  <c r="C825" i="8"/>
  <c r="A825" i="8"/>
  <c r="H824" i="8"/>
  <c r="G824" i="8"/>
  <c r="F824" i="8"/>
  <c r="E824" i="8"/>
  <c r="D824" i="8"/>
  <c r="C824" i="8"/>
  <c r="A824" i="8"/>
  <c r="H823" i="8"/>
  <c r="G823" i="8"/>
  <c r="F823" i="8"/>
  <c r="E823" i="8"/>
  <c r="D823" i="8"/>
  <c r="C823" i="8"/>
  <c r="A823" i="8"/>
  <c r="H822" i="8"/>
  <c r="G822" i="8"/>
  <c r="F822" i="8"/>
  <c r="E822" i="8"/>
  <c r="D822" i="8"/>
  <c r="C822" i="8"/>
  <c r="A822" i="8"/>
  <c r="H821" i="8"/>
  <c r="G821" i="8"/>
  <c r="F821" i="8"/>
  <c r="E821" i="8"/>
  <c r="D821" i="8"/>
  <c r="C821" i="8"/>
  <c r="A821" i="8"/>
  <c r="H820" i="8"/>
  <c r="G820" i="8"/>
  <c r="F820" i="8"/>
  <c r="E820" i="8"/>
  <c r="D820" i="8"/>
  <c r="C820" i="8"/>
  <c r="A820" i="8"/>
  <c r="H819" i="8"/>
  <c r="G819" i="8"/>
  <c r="F819" i="8"/>
  <c r="E819" i="8"/>
  <c r="D819" i="8"/>
  <c r="C819" i="8"/>
  <c r="A819" i="8"/>
  <c r="H818" i="8"/>
  <c r="G818" i="8"/>
  <c r="F818" i="8"/>
  <c r="E818" i="8"/>
  <c r="D818" i="8"/>
  <c r="C818" i="8"/>
  <c r="A818" i="8"/>
  <c r="H817" i="8"/>
  <c r="G817" i="8"/>
  <c r="F817" i="8"/>
  <c r="E817" i="8"/>
  <c r="D817" i="8"/>
  <c r="C817" i="8"/>
  <c r="A817" i="8"/>
  <c r="H816" i="8"/>
  <c r="G816" i="8"/>
  <c r="F816" i="8"/>
  <c r="E816" i="8"/>
  <c r="D816" i="8"/>
  <c r="C816" i="8"/>
  <c r="A816" i="8"/>
  <c r="H815" i="8"/>
  <c r="G815" i="8"/>
  <c r="F815" i="8"/>
  <c r="E815" i="8"/>
  <c r="D815" i="8"/>
  <c r="C815" i="8"/>
  <c r="A815" i="8"/>
  <c r="H814" i="8"/>
  <c r="G814" i="8"/>
  <c r="F814" i="8"/>
  <c r="E814" i="8"/>
  <c r="D814" i="8"/>
  <c r="C814" i="8"/>
  <c r="A814" i="8"/>
  <c r="H813" i="8"/>
  <c r="G813" i="8"/>
  <c r="F813" i="8"/>
  <c r="E813" i="8"/>
  <c r="D813" i="8"/>
  <c r="C813" i="8"/>
  <c r="A813" i="8"/>
  <c r="H812" i="8"/>
  <c r="G812" i="8"/>
  <c r="F812" i="8"/>
  <c r="E812" i="8"/>
  <c r="D812" i="8"/>
  <c r="C812" i="8"/>
  <c r="A812" i="8"/>
  <c r="H811" i="8"/>
  <c r="G811" i="8"/>
  <c r="F811" i="8"/>
  <c r="E811" i="8"/>
  <c r="D811" i="8"/>
  <c r="C811" i="8"/>
  <c r="A811" i="8"/>
  <c r="H810" i="8"/>
  <c r="G810" i="8"/>
  <c r="F810" i="8"/>
  <c r="E810" i="8"/>
  <c r="D810" i="8"/>
  <c r="C810" i="8"/>
  <c r="A810" i="8"/>
  <c r="H809" i="8"/>
  <c r="G809" i="8"/>
  <c r="F809" i="8"/>
  <c r="E809" i="8"/>
  <c r="D809" i="8"/>
  <c r="C809" i="8"/>
  <c r="A809" i="8"/>
  <c r="H808" i="8"/>
  <c r="G808" i="8"/>
  <c r="F808" i="8"/>
  <c r="E808" i="8"/>
  <c r="D808" i="8"/>
  <c r="C808" i="8"/>
  <c r="A808" i="8"/>
  <c r="H807" i="8"/>
  <c r="G807" i="8"/>
  <c r="F807" i="8"/>
  <c r="E807" i="8"/>
  <c r="D807" i="8"/>
  <c r="C807" i="8"/>
  <c r="A807" i="8"/>
  <c r="H806" i="8"/>
  <c r="G806" i="8"/>
  <c r="F806" i="8"/>
  <c r="E806" i="8"/>
  <c r="D806" i="8"/>
  <c r="C806" i="8"/>
  <c r="A806" i="8"/>
  <c r="H805" i="8"/>
  <c r="G805" i="8"/>
  <c r="F805" i="8"/>
  <c r="E805" i="8"/>
  <c r="D805" i="8"/>
  <c r="C805" i="8"/>
  <c r="A805" i="8"/>
  <c r="H804" i="8"/>
  <c r="G804" i="8"/>
  <c r="F804" i="8"/>
  <c r="E804" i="8"/>
  <c r="D804" i="8"/>
  <c r="C804" i="8"/>
  <c r="A804" i="8"/>
  <c r="H803" i="8"/>
  <c r="G803" i="8"/>
  <c r="F803" i="8"/>
  <c r="E803" i="8"/>
  <c r="D803" i="8"/>
  <c r="C803" i="8"/>
  <c r="A803" i="8"/>
  <c r="H802" i="8"/>
  <c r="G802" i="8"/>
  <c r="F802" i="8"/>
  <c r="E802" i="8"/>
  <c r="D802" i="8"/>
  <c r="C802" i="8"/>
  <c r="A802" i="8"/>
  <c r="H801" i="8"/>
  <c r="G801" i="8"/>
  <c r="F801" i="8"/>
  <c r="E801" i="8"/>
  <c r="D801" i="8"/>
  <c r="C801" i="8"/>
  <c r="A801" i="8"/>
  <c r="H800" i="8"/>
  <c r="G800" i="8"/>
  <c r="F800" i="8"/>
  <c r="E800" i="8"/>
  <c r="D800" i="8"/>
  <c r="C800" i="8"/>
  <c r="A800" i="8"/>
  <c r="H799" i="8"/>
  <c r="G799" i="8"/>
  <c r="F799" i="8"/>
  <c r="E799" i="8"/>
  <c r="D799" i="8"/>
  <c r="C799" i="8"/>
  <c r="A799" i="8"/>
  <c r="H798" i="8"/>
  <c r="G798" i="8"/>
  <c r="F798" i="8"/>
  <c r="E798" i="8"/>
  <c r="D798" i="8"/>
  <c r="C798" i="8"/>
  <c r="A798" i="8"/>
  <c r="H797" i="8"/>
  <c r="G797" i="8"/>
  <c r="F797" i="8"/>
  <c r="E797" i="8"/>
  <c r="D797" i="8"/>
  <c r="C797" i="8"/>
  <c r="A797" i="8"/>
  <c r="H796" i="8"/>
  <c r="G796" i="8"/>
  <c r="F796" i="8"/>
  <c r="E796" i="8"/>
  <c r="D796" i="8"/>
  <c r="C796" i="8"/>
  <c r="A796" i="8"/>
  <c r="H795" i="8"/>
  <c r="G795" i="8"/>
  <c r="F795" i="8"/>
  <c r="E795" i="8"/>
  <c r="D795" i="8"/>
  <c r="C795" i="8"/>
  <c r="A795" i="8"/>
  <c r="H794" i="8"/>
  <c r="G794" i="8"/>
  <c r="F794" i="8"/>
  <c r="E794" i="8"/>
  <c r="D794" i="8"/>
  <c r="C794" i="8"/>
  <c r="A794" i="8"/>
  <c r="H793" i="8"/>
  <c r="G793" i="8"/>
  <c r="F793" i="8"/>
  <c r="E793" i="8"/>
  <c r="D793" i="8"/>
  <c r="C793" i="8"/>
  <c r="A793" i="8"/>
  <c r="H792" i="8"/>
  <c r="G792" i="8"/>
  <c r="F792" i="8"/>
  <c r="E792" i="8"/>
  <c r="D792" i="8"/>
  <c r="C792" i="8"/>
  <c r="A792" i="8"/>
  <c r="H791" i="8"/>
  <c r="G791" i="8"/>
  <c r="F791" i="8"/>
  <c r="E791" i="8"/>
  <c r="D791" i="8"/>
  <c r="C791" i="8"/>
  <c r="A791" i="8"/>
  <c r="H790" i="8"/>
  <c r="G790" i="8"/>
  <c r="F790" i="8"/>
  <c r="E790" i="8"/>
  <c r="D790" i="8"/>
  <c r="C790" i="8"/>
  <c r="A790" i="8"/>
  <c r="H789" i="8"/>
  <c r="G789" i="8"/>
  <c r="F789" i="8"/>
  <c r="E789" i="8"/>
  <c r="D789" i="8"/>
  <c r="C789" i="8"/>
  <c r="A789" i="8"/>
  <c r="H788" i="8"/>
  <c r="G788" i="8"/>
  <c r="F788" i="8"/>
  <c r="E788" i="8"/>
  <c r="D788" i="8"/>
  <c r="C788" i="8"/>
  <c r="A788" i="8"/>
  <c r="H787" i="8"/>
  <c r="G787" i="8"/>
  <c r="F787" i="8"/>
  <c r="E787" i="8"/>
  <c r="D787" i="8"/>
  <c r="C787" i="8"/>
  <c r="A787" i="8"/>
  <c r="H786" i="8"/>
  <c r="G786" i="8"/>
  <c r="F786" i="8"/>
  <c r="E786" i="8"/>
  <c r="D786" i="8"/>
  <c r="C786" i="8"/>
  <c r="A786" i="8"/>
  <c r="H785" i="8"/>
  <c r="G785" i="8"/>
  <c r="F785" i="8"/>
  <c r="E785" i="8"/>
  <c r="D785" i="8"/>
  <c r="C785" i="8"/>
  <c r="A785" i="8"/>
  <c r="H784" i="8"/>
  <c r="G784" i="8"/>
  <c r="F784" i="8"/>
  <c r="E784" i="8"/>
  <c r="D784" i="8"/>
  <c r="C784" i="8"/>
  <c r="A784" i="8"/>
  <c r="H783" i="8"/>
  <c r="G783" i="8"/>
  <c r="F783" i="8"/>
  <c r="E783" i="8"/>
  <c r="D783" i="8"/>
  <c r="C783" i="8"/>
  <c r="A783" i="8"/>
  <c r="H782" i="8"/>
  <c r="G782" i="8"/>
  <c r="F782" i="8"/>
  <c r="E782" i="8"/>
  <c r="D782" i="8"/>
  <c r="C782" i="8"/>
  <c r="A782" i="8"/>
  <c r="H781" i="8"/>
  <c r="G781" i="8"/>
  <c r="F781" i="8"/>
  <c r="E781" i="8"/>
  <c r="D781" i="8"/>
  <c r="C781" i="8"/>
  <c r="A781" i="8"/>
  <c r="H780" i="8"/>
  <c r="G780" i="8"/>
  <c r="F780" i="8"/>
  <c r="E780" i="8"/>
  <c r="D780" i="8"/>
  <c r="C780" i="8"/>
  <c r="A780" i="8"/>
  <c r="H779" i="8"/>
  <c r="G779" i="8"/>
  <c r="F779" i="8"/>
  <c r="E779" i="8"/>
  <c r="D779" i="8"/>
  <c r="C779" i="8"/>
  <c r="A779" i="8"/>
  <c r="H778" i="8"/>
  <c r="G778" i="8"/>
  <c r="F778" i="8"/>
  <c r="E778" i="8"/>
  <c r="D778" i="8"/>
  <c r="C778" i="8"/>
  <c r="A778" i="8"/>
  <c r="H777" i="8"/>
  <c r="G777" i="8"/>
  <c r="F777" i="8"/>
  <c r="E777" i="8"/>
  <c r="D777" i="8"/>
  <c r="C777" i="8"/>
  <c r="A777" i="8"/>
  <c r="H776" i="8"/>
  <c r="G776" i="8"/>
  <c r="F776" i="8"/>
  <c r="E776" i="8"/>
  <c r="D776" i="8"/>
  <c r="C776" i="8"/>
  <c r="A776" i="8"/>
  <c r="H775" i="8"/>
  <c r="G775" i="8"/>
  <c r="F775" i="8"/>
  <c r="E775" i="8"/>
  <c r="D775" i="8"/>
  <c r="C775" i="8"/>
  <c r="A775" i="8"/>
  <c r="H774" i="8"/>
  <c r="G774" i="8"/>
  <c r="F774" i="8"/>
  <c r="E774" i="8"/>
  <c r="D774" i="8"/>
  <c r="C774" i="8"/>
  <c r="A774" i="8"/>
  <c r="H773" i="8"/>
  <c r="G773" i="8"/>
  <c r="F773" i="8"/>
  <c r="E773" i="8"/>
  <c r="D773" i="8"/>
  <c r="C773" i="8"/>
  <c r="A773" i="8"/>
  <c r="H772" i="8"/>
  <c r="G772" i="8"/>
  <c r="F772" i="8"/>
  <c r="E772" i="8"/>
  <c r="D772" i="8"/>
  <c r="C772" i="8"/>
  <c r="A772" i="8"/>
  <c r="H771" i="8"/>
  <c r="G771" i="8"/>
  <c r="F771" i="8"/>
  <c r="E771" i="8"/>
  <c r="D771" i="8"/>
  <c r="C771" i="8"/>
  <c r="A771" i="8"/>
  <c r="H770" i="8"/>
  <c r="G770" i="8"/>
  <c r="F770" i="8"/>
  <c r="E770" i="8"/>
  <c r="D770" i="8"/>
  <c r="C770" i="8"/>
  <c r="A770" i="8"/>
  <c r="H769" i="8"/>
  <c r="G769" i="8"/>
  <c r="F769" i="8"/>
  <c r="E769" i="8"/>
  <c r="D769" i="8"/>
  <c r="C769" i="8"/>
  <c r="A769" i="8"/>
  <c r="H768" i="8"/>
  <c r="G768" i="8"/>
  <c r="F768" i="8"/>
  <c r="E768" i="8"/>
  <c r="D768" i="8"/>
  <c r="C768" i="8"/>
  <c r="A768" i="8"/>
  <c r="H767" i="8"/>
  <c r="G767" i="8"/>
  <c r="F767" i="8"/>
  <c r="E767" i="8"/>
  <c r="D767" i="8"/>
  <c r="C767" i="8"/>
  <c r="A767" i="8"/>
  <c r="H766" i="8"/>
  <c r="G766" i="8"/>
  <c r="F766" i="8"/>
  <c r="E766" i="8"/>
  <c r="D766" i="8"/>
  <c r="C766" i="8"/>
  <c r="A766" i="8"/>
  <c r="H765" i="8"/>
  <c r="G765" i="8"/>
  <c r="F765" i="8"/>
  <c r="E765" i="8"/>
  <c r="D765" i="8"/>
  <c r="C765" i="8"/>
  <c r="A765" i="8"/>
  <c r="H764" i="8"/>
  <c r="G764" i="8"/>
  <c r="F764" i="8"/>
  <c r="E764" i="8"/>
  <c r="D764" i="8"/>
  <c r="C764" i="8"/>
  <c r="A764" i="8"/>
  <c r="H763" i="8"/>
  <c r="G763" i="8"/>
  <c r="F763" i="8"/>
  <c r="E763" i="8"/>
  <c r="D763" i="8"/>
  <c r="C763" i="8"/>
  <c r="A763" i="8"/>
  <c r="H762" i="8"/>
  <c r="G762" i="8"/>
  <c r="F762" i="8"/>
  <c r="E762" i="8"/>
  <c r="D762" i="8"/>
  <c r="C762" i="8"/>
  <c r="A762" i="8"/>
  <c r="H761" i="8"/>
  <c r="G761" i="8"/>
  <c r="F761" i="8"/>
  <c r="E761" i="8"/>
  <c r="D761" i="8"/>
  <c r="C761" i="8"/>
  <c r="A761" i="8"/>
  <c r="H760" i="8"/>
  <c r="G760" i="8"/>
  <c r="F760" i="8"/>
  <c r="E760" i="8"/>
  <c r="D760" i="8"/>
  <c r="C760" i="8"/>
  <c r="A760" i="8"/>
  <c r="H759" i="8"/>
  <c r="G759" i="8"/>
  <c r="F759" i="8"/>
  <c r="E759" i="8"/>
  <c r="D759" i="8"/>
  <c r="C759" i="8"/>
  <c r="A759" i="8"/>
  <c r="H758" i="8"/>
  <c r="G758" i="8"/>
  <c r="F758" i="8"/>
  <c r="E758" i="8"/>
  <c r="D758" i="8"/>
  <c r="C758" i="8"/>
  <c r="A758" i="8"/>
  <c r="H757" i="8"/>
  <c r="G757" i="8"/>
  <c r="F757" i="8"/>
  <c r="E757" i="8"/>
  <c r="D757" i="8"/>
  <c r="C757" i="8"/>
  <c r="A757" i="8"/>
  <c r="H756" i="8"/>
  <c r="G756" i="8"/>
  <c r="F756" i="8"/>
  <c r="E756" i="8"/>
  <c r="D756" i="8"/>
  <c r="C756" i="8"/>
  <c r="A756" i="8"/>
  <c r="H755" i="8"/>
  <c r="G755" i="8"/>
  <c r="F755" i="8"/>
  <c r="E755" i="8"/>
  <c r="D755" i="8"/>
  <c r="C755" i="8"/>
  <c r="A755" i="8"/>
  <c r="H754" i="8"/>
  <c r="G754" i="8"/>
  <c r="F754" i="8"/>
  <c r="E754" i="8"/>
  <c r="D754" i="8"/>
  <c r="C754" i="8"/>
  <c r="A754" i="8"/>
  <c r="H753" i="8"/>
  <c r="G753" i="8"/>
  <c r="F753" i="8"/>
  <c r="E753" i="8"/>
  <c r="D753" i="8"/>
  <c r="C753" i="8"/>
  <c r="A753" i="8"/>
  <c r="H752" i="8"/>
  <c r="G752" i="8"/>
  <c r="F752" i="8"/>
  <c r="E752" i="8"/>
  <c r="D752" i="8"/>
  <c r="C752" i="8"/>
  <c r="A752" i="8"/>
  <c r="H751" i="8"/>
  <c r="G751" i="8"/>
  <c r="F751" i="8"/>
  <c r="E751" i="8"/>
  <c r="D751" i="8"/>
  <c r="C751" i="8"/>
  <c r="A751" i="8"/>
  <c r="H750" i="8"/>
  <c r="G750" i="8"/>
  <c r="F750" i="8"/>
  <c r="E750" i="8"/>
  <c r="D750" i="8"/>
  <c r="C750" i="8"/>
  <c r="A750" i="8"/>
  <c r="H749" i="8"/>
  <c r="G749" i="8"/>
  <c r="F749" i="8"/>
  <c r="E749" i="8"/>
  <c r="D749" i="8"/>
  <c r="C749" i="8"/>
  <c r="A749" i="8"/>
  <c r="H748" i="8"/>
  <c r="G748" i="8"/>
  <c r="F748" i="8"/>
  <c r="E748" i="8"/>
  <c r="D748" i="8"/>
  <c r="C748" i="8"/>
  <c r="A748" i="8"/>
  <c r="H747" i="8"/>
  <c r="G747" i="8"/>
  <c r="F747" i="8"/>
  <c r="E747" i="8"/>
  <c r="D747" i="8"/>
  <c r="C747" i="8"/>
  <c r="A747" i="8"/>
  <c r="H746" i="8"/>
  <c r="G746" i="8"/>
  <c r="F746" i="8"/>
  <c r="E746" i="8"/>
  <c r="D746" i="8"/>
  <c r="C746" i="8"/>
  <c r="A746" i="8"/>
  <c r="H745" i="8"/>
  <c r="G745" i="8"/>
  <c r="F745" i="8"/>
  <c r="E745" i="8"/>
  <c r="D745" i="8"/>
  <c r="C745" i="8"/>
  <c r="A745" i="8"/>
  <c r="H744" i="8"/>
  <c r="G744" i="8"/>
  <c r="F744" i="8"/>
  <c r="E744" i="8"/>
  <c r="D744" i="8"/>
  <c r="C744" i="8"/>
  <c r="A744" i="8"/>
  <c r="H743" i="8"/>
  <c r="G743" i="8"/>
  <c r="F743" i="8"/>
  <c r="E743" i="8"/>
  <c r="D743" i="8"/>
  <c r="C743" i="8"/>
  <c r="A743" i="8"/>
  <c r="H742" i="8"/>
  <c r="G742" i="8"/>
  <c r="F742" i="8"/>
  <c r="E742" i="8"/>
  <c r="D742" i="8"/>
  <c r="C742" i="8"/>
  <c r="A742" i="8"/>
  <c r="H741" i="8"/>
  <c r="G741" i="8"/>
  <c r="F741" i="8"/>
  <c r="E741" i="8"/>
  <c r="D741" i="8"/>
  <c r="C741" i="8"/>
  <c r="A741" i="8"/>
  <c r="H740" i="8"/>
  <c r="G740" i="8"/>
  <c r="F740" i="8"/>
  <c r="E740" i="8"/>
  <c r="D740" i="8"/>
  <c r="C740" i="8"/>
  <c r="A740" i="8"/>
  <c r="H739" i="8"/>
  <c r="G739" i="8"/>
  <c r="F739" i="8"/>
  <c r="E739" i="8"/>
  <c r="D739" i="8"/>
  <c r="C739" i="8"/>
  <c r="A739" i="8"/>
  <c r="H738" i="8"/>
  <c r="G738" i="8"/>
  <c r="F738" i="8"/>
  <c r="E738" i="8"/>
  <c r="D738" i="8"/>
  <c r="C738" i="8"/>
  <c r="A738" i="8"/>
  <c r="H737" i="8"/>
  <c r="G737" i="8"/>
  <c r="F737" i="8"/>
  <c r="E737" i="8"/>
  <c r="D737" i="8"/>
  <c r="C737" i="8"/>
  <c r="A737" i="8"/>
  <c r="H736" i="8"/>
  <c r="G736" i="8"/>
  <c r="F736" i="8"/>
  <c r="E736" i="8"/>
  <c r="D736" i="8"/>
  <c r="C736" i="8"/>
  <c r="A736" i="8"/>
  <c r="H735" i="8"/>
  <c r="G735" i="8"/>
  <c r="F735" i="8"/>
  <c r="E735" i="8"/>
  <c r="D735" i="8"/>
  <c r="C735" i="8"/>
  <c r="A735" i="8"/>
  <c r="H734" i="8"/>
  <c r="G734" i="8"/>
  <c r="F734" i="8"/>
  <c r="E734" i="8"/>
  <c r="D734" i="8"/>
  <c r="C734" i="8"/>
  <c r="A734" i="8"/>
  <c r="H733" i="8"/>
  <c r="G733" i="8"/>
  <c r="F733" i="8"/>
  <c r="E733" i="8"/>
  <c r="D733" i="8"/>
  <c r="C733" i="8"/>
  <c r="A733" i="8"/>
  <c r="H732" i="8"/>
  <c r="G732" i="8"/>
  <c r="F732" i="8"/>
  <c r="E732" i="8"/>
  <c r="D732" i="8"/>
  <c r="C732" i="8"/>
  <c r="A732" i="8"/>
  <c r="H731" i="8"/>
  <c r="G731" i="8"/>
  <c r="F731" i="8"/>
  <c r="E731" i="8"/>
  <c r="D731" i="8"/>
  <c r="C731" i="8"/>
  <c r="A731" i="8"/>
  <c r="H730" i="8"/>
  <c r="G730" i="8"/>
  <c r="F730" i="8"/>
  <c r="E730" i="8"/>
  <c r="D730" i="8"/>
  <c r="C730" i="8"/>
  <c r="A730" i="8"/>
  <c r="H729" i="8"/>
  <c r="G729" i="8"/>
  <c r="F729" i="8"/>
  <c r="E729" i="8"/>
  <c r="D729" i="8"/>
  <c r="C729" i="8"/>
  <c r="A729" i="8"/>
  <c r="H728" i="8"/>
  <c r="G728" i="8"/>
  <c r="F728" i="8"/>
  <c r="E728" i="8"/>
  <c r="D728" i="8"/>
  <c r="C728" i="8"/>
  <c r="A728" i="8"/>
  <c r="H727" i="8"/>
  <c r="G727" i="8"/>
  <c r="F727" i="8"/>
  <c r="E727" i="8"/>
  <c r="D727" i="8"/>
  <c r="C727" i="8"/>
  <c r="A727" i="8"/>
  <c r="H726" i="8"/>
  <c r="G726" i="8"/>
  <c r="F726" i="8"/>
  <c r="E726" i="8"/>
  <c r="D726" i="8"/>
  <c r="C726" i="8"/>
  <c r="A726" i="8"/>
  <c r="H725" i="8"/>
  <c r="G725" i="8"/>
  <c r="F725" i="8"/>
  <c r="E725" i="8"/>
  <c r="D725" i="8"/>
  <c r="C725" i="8"/>
  <c r="A725" i="8"/>
  <c r="H724" i="8"/>
  <c r="G724" i="8"/>
  <c r="F724" i="8"/>
  <c r="E724" i="8"/>
  <c r="D724" i="8"/>
  <c r="C724" i="8"/>
  <c r="A724" i="8"/>
  <c r="H723" i="8"/>
  <c r="G723" i="8"/>
  <c r="F723" i="8"/>
  <c r="E723" i="8"/>
  <c r="D723" i="8"/>
  <c r="C723" i="8"/>
  <c r="A723" i="8"/>
  <c r="H722" i="8"/>
  <c r="G722" i="8"/>
  <c r="F722" i="8"/>
  <c r="E722" i="8"/>
  <c r="D722" i="8"/>
  <c r="C722" i="8"/>
  <c r="A722" i="8"/>
  <c r="H721" i="8"/>
  <c r="G721" i="8"/>
  <c r="F721" i="8"/>
  <c r="E721" i="8"/>
  <c r="D721" i="8"/>
  <c r="C721" i="8"/>
  <c r="A721" i="8"/>
  <c r="H720" i="8"/>
  <c r="G720" i="8"/>
  <c r="F720" i="8"/>
  <c r="E720" i="8"/>
  <c r="D720" i="8"/>
  <c r="C720" i="8"/>
  <c r="A720" i="8"/>
  <c r="H719" i="8"/>
  <c r="G719" i="8"/>
  <c r="F719" i="8"/>
  <c r="E719" i="8"/>
  <c r="D719" i="8"/>
  <c r="C719" i="8"/>
  <c r="A719" i="8"/>
  <c r="H718" i="8"/>
  <c r="G718" i="8"/>
  <c r="F718" i="8"/>
  <c r="E718" i="8"/>
  <c r="D718" i="8"/>
  <c r="C718" i="8"/>
  <c r="A718" i="8"/>
  <c r="H717" i="8"/>
  <c r="G717" i="8"/>
  <c r="F717" i="8"/>
  <c r="E717" i="8"/>
  <c r="D717" i="8"/>
  <c r="C717" i="8"/>
  <c r="A717" i="8"/>
  <c r="H716" i="8"/>
  <c r="G716" i="8"/>
  <c r="F716" i="8"/>
  <c r="E716" i="8"/>
  <c r="D716" i="8"/>
  <c r="C716" i="8"/>
  <c r="A716" i="8"/>
  <c r="H715" i="8"/>
  <c r="G715" i="8"/>
  <c r="F715" i="8"/>
  <c r="E715" i="8"/>
  <c r="D715" i="8"/>
  <c r="C715" i="8"/>
  <c r="A715" i="8"/>
  <c r="H714" i="8"/>
  <c r="G714" i="8"/>
  <c r="F714" i="8"/>
  <c r="E714" i="8"/>
  <c r="D714" i="8"/>
  <c r="C714" i="8"/>
  <c r="A714" i="8"/>
  <c r="H713" i="8"/>
  <c r="G713" i="8"/>
  <c r="F713" i="8"/>
  <c r="E713" i="8"/>
  <c r="D713" i="8"/>
  <c r="C713" i="8"/>
  <c r="A713" i="8"/>
  <c r="H712" i="8"/>
  <c r="G712" i="8"/>
  <c r="F712" i="8"/>
  <c r="E712" i="8"/>
  <c r="D712" i="8"/>
  <c r="C712" i="8"/>
  <c r="A712" i="8"/>
  <c r="H711" i="8"/>
  <c r="G711" i="8"/>
  <c r="F711" i="8"/>
  <c r="E711" i="8"/>
  <c r="D711" i="8"/>
  <c r="C711" i="8"/>
  <c r="A711" i="8"/>
  <c r="H710" i="8"/>
  <c r="G710" i="8"/>
  <c r="F710" i="8"/>
  <c r="E710" i="8"/>
  <c r="D710" i="8"/>
  <c r="C710" i="8"/>
  <c r="A710" i="8"/>
  <c r="H709" i="8"/>
  <c r="G709" i="8"/>
  <c r="F709" i="8"/>
  <c r="E709" i="8"/>
  <c r="D709" i="8"/>
  <c r="C709" i="8"/>
  <c r="A709" i="8"/>
  <c r="H708" i="8"/>
  <c r="G708" i="8"/>
  <c r="F708" i="8"/>
  <c r="E708" i="8"/>
  <c r="D708" i="8"/>
  <c r="C708" i="8"/>
  <c r="A708" i="8"/>
  <c r="H707" i="8"/>
  <c r="G707" i="8"/>
  <c r="F707" i="8"/>
  <c r="E707" i="8"/>
  <c r="D707" i="8"/>
  <c r="C707" i="8"/>
  <c r="A707" i="8"/>
  <c r="H706" i="8"/>
  <c r="G706" i="8"/>
  <c r="F706" i="8"/>
  <c r="E706" i="8"/>
  <c r="D706" i="8"/>
  <c r="C706" i="8"/>
  <c r="A706" i="8"/>
  <c r="H705" i="8"/>
  <c r="G705" i="8"/>
  <c r="F705" i="8"/>
  <c r="E705" i="8"/>
  <c r="D705" i="8"/>
  <c r="C705" i="8"/>
  <c r="A705" i="8"/>
  <c r="H704" i="8"/>
  <c r="G704" i="8"/>
  <c r="F704" i="8"/>
  <c r="E704" i="8"/>
  <c r="D704" i="8"/>
  <c r="C704" i="8"/>
  <c r="A704" i="8"/>
  <c r="H703" i="8"/>
  <c r="G703" i="8"/>
  <c r="F703" i="8"/>
  <c r="E703" i="8"/>
  <c r="D703" i="8"/>
  <c r="C703" i="8"/>
  <c r="A703" i="8"/>
  <c r="H702" i="8"/>
  <c r="G702" i="8"/>
  <c r="F702" i="8"/>
  <c r="E702" i="8"/>
  <c r="D702" i="8"/>
  <c r="C702" i="8"/>
  <c r="A702" i="8"/>
  <c r="H701" i="8"/>
  <c r="G701" i="8"/>
  <c r="F701" i="8"/>
  <c r="E701" i="8"/>
  <c r="D701" i="8"/>
  <c r="C701" i="8"/>
  <c r="A701" i="8"/>
  <c r="H700" i="8"/>
  <c r="G700" i="8"/>
  <c r="F700" i="8"/>
  <c r="E700" i="8"/>
  <c r="D700" i="8"/>
  <c r="C700" i="8"/>
  <c r="A700" i="8"/>
  <c r="H699" i="8"/>
  <c r="G699" i="8"/>
  <c r="F699" i="8"/>
  <c r="E699" i="8"/>
  <c r="D699" i="8"/>
  <c r="C699" i="8"/>
  <c r="A699" i="8"/>
  <c r="H698" i="8"/>
  <c r="G698" i="8"/>
  <c r="F698" i="8"/>
  <c r="E698" i="8"/>
  <c r="D698" i="8"/>
  <c r="C698" i="8"/>
  <c r="A698" i="8"/>
  <c r="H697" i="8"/>
  <c r="G697" i="8"/>
  <c r="F697" i="8"/>
  <c r="E697" i="8"/>
  <c r="D697" i="8"/>
  <c r="C697" i="8"/>
  <c r="A697" i="8"/>
  <c r="H696" i="8"/>
  <c r="G696" i="8"/>
  <c r="F696" i="8"/>
  <c r="E696" i="8"/>
  <c r="D696" i="8"/>
  <c r="C696" i="8"/>
  <c r="A696" i="8"/>
  <c r="H695" i="8"/>
  <c r="G695" i="8"/>
  <c r="F695" i="8"/>
  <c r="E695" i="8"/>
  <c r="D695" i="8"/>
  <c r="C695" i="8"/>
  <c r="A695" i="8"/>
  <c r="H694" i="8"/>
  <c r="G694" i="8"/>
  <c r="F694" i="8"/>
  <c r="E694" i="8"/>
  <c r="D694" i="8"/>
  <c r="C694" i="8"/>
  <c r="A694" i="8"/>
  <c r="H693" i="8"/>
  <c r="G693" i="8"/>
  <c r="F693" i="8"/>
  <c r="E693" i="8"/>
  <c r="D693" i="8"/>
  <c r="C693" i="8"/>
  <c r="A693" i="8"/>
  <c r="H692" i="8"/>
  <c r="G692" i="8"/>
  <c r="F692" i="8"/>
  <c r="E692" i="8"/>
  <c r="D692" i="8"/>
  <c r="C692" i="8"/>
  <c r="A692" i="8"/>
  <c r="H691" i="8"/>
  <c r="G691" i="8"/>
  <c r="F691" i="8"/>
  <c r="E691" i="8"/>
  <c r="D691" i="8"/>
  <c r="C691" i="8"/>
  <c r="A691" i="8"/>
  <c r="H690" i="8"/>
  <c r="G690" i="8"/>
  <c r="F690" i="8"/>
  <c r="E690" i="8"/>
  <c r="D690" i="8"/>
  <c r="C690" i="8"/>
  <c r="A690" i="8"/>
  <c r="H689" i="8"/>
  <c r="G689" i="8"/>
  <c r="F689" i="8"/>
  <c r="E689" i="8"/>
  <c r="D689" i="8"/>
  <c r="C689" i="8"/>
  <c r="A689" i="8"/>
  <c r="H688" i="8"/>
  <c r="G688" i="8"/>
  <c r="F688" i="8"/>
  <c r="E688" i="8"/>
  <c r="D688" i="8"/>
  <c r="C688" i="8"/>
  <c r="A688" i="8"/>
  <c r="H687" i="8"/>
  <c r="G687" i="8"/>
  <c r="F687" i="8"/>
  <c r="E687" i="8"/>
  <c r="D687" i="8"/>
  <c r="C687" i="8"/>
  <c r="A687" i="8"/>
  <c r="H686" i="8"/>
  <c r="G686" i="8"/>
  <c r="F686" i="8"/>
  <c r="E686" i="8"/>
  <c r="D686" i="8"/>
  <c r="C686" i="8"/>
  <c r="A686" i="8"/>
  <c r="H685" i="8"/>
  <c r="G685" i="8"/>
  <c r="F685" i="8"/>
  <c r="E685" i="8"/>
  <c r="D685" i="8"/>
  <c r="C685" i="8"/>
  <c r="A685" i="8"/>
  <c r="H684" i="8"/>
  <c r="G684" i="8"/>
  <c r="F684" i="8"/>
  <c r="E684" i="8"/>
  <c r="D684" i="8"/>
  <c r="C684" i="8"/>
  <c r="A684" i="8"/>
  <c r="H683" i="8"/>
  <c r="G683" i="8"/>
  <c r="F683" i="8"/>
  <c r="E683" i="8"/>
  <c r="D683" i="8"/>
  <c r="C683" i="8"/>
  <c r="A683" i="8"/>
  <c r="H682" i="8"/>
  <c r="G682" i="8"/>
  <c r="F682" i="8"/>
  <c r="E682" i="8"/>
  <c r="D682" i="8"/>
  <c r="C682" i="8"/>
  <c r="A682" i="8"/>
  <c r="H681" i="8"/>
  <c r="G681" i="8"/>
  <c r="F681" i="8"/>
  <c r="E681" i="8"/>
  <c r="D681" i="8"/>
  <c r="C681" i="8"/>
  <c r="A681" i="8"/>
  <c r="H680" i="8"/>
  <c r="G680" i="8"/>
  <c r="F680" i="8"/>
  <c r="E680" i="8"/>
  <c r="D680" i="8"/>
  <c r="C680" i="8"/>
  <c r="A680" i="8"/>
  <c r="H679" i="8"/>
  <c r="G679" i="8"/>
  <c r="F679" i="8"/>
  <c r="E679" i="8"/>
  <c r="D679" i="8"/>
  <c r="C679" i="8"/>
  <c r="A679" i="8"/>
  <c r="H678" i="8"/>
  <c r="G678" i="8"/>
  <c r="F678" i="8"/>
  <c r="E678" i="8"/>
  <c r="D678" i="8"/>
  <c r="C678" i="8"/>
  <c r="A678" i="8"/>
  <c r="H677" i="8"/>
  <c r="G677" i="8"/>
  <c r="F677" i="8"/>
  <c r="E677" i="8"/>
  <c r="D677" i="8"/>
  <c r="C677" i="8"/>
  <c r="A677" i="8"/>
  <c r="H676" i="8"/>
  <c r="G676" i="8"/>
  <c r="F676" i="8"/>
  <c r="E676" i="8"/>
  <c r="D676" i="8"/>
  <c r="C676" i="8"/>
  <c r="A676" i="8"/>
  <c r="H675" i="8"/>
  <c r="G675" i="8"/>
  <c r="F675" i="8"/>
  <c r="E675" i="8"/>
  <c r="D675" i="8"/>
  <c r="C675" i="8"/>
  <c r="A675" i="8"/>
  <c r="H674" i="8"/>
  <c r="G674" i="8"/>
  <c r="F674" i="8"/>
  <c r="E674" i="8"/>
  <c r="D674" i="8"/>
  <c r="C674" i="8"/>
  <c r="A674" i="8"/>
  <c r="H673" i="8"/>
  <c r="G673" i="8"/>
  <c r="F673" i="8"/>
  <c r="E673" i="8"/>
  <c r="D673" i="8"/>
  <c r="C673" i="8"/>
  <c r="A673" i="8"/>
  <c r="H672" i="8"/>
  <c r="G672" i="8"/>
  <c r="F672" i="8"/>
  <c r="E672" i="8"/>
  <c r="D672" i="8"/>
  <c r="C672" i="8"/>
  <c r="A672" i="8"/>
  <c r="H671" i="8"/>
  <c r="G671" i="8"/>
  <c r="F671" i="8"/>
  <c r="E671" i="8"/>
  <c r="D671" i="8"/>
  <c r="C671" i="8"/>
  <c r="A671" i="8"/>
  <c r="H670" i="8"/>
  <c r="G670" i="8"/>
  <c r="F670" i="8"/>
  <c r="E670" i="8"/>
  <c r="D670" i="8"/>
  <c r="C670" i="8"/>
  <c r="A670" i="8"/>
  <c r="H669" i="8"/>
  <c r="G669" i="8"/>
  <c r="F669" i="8"/>
  <c r="E669" i="8"/>
  <c r="D669" i="8"/>
  <c r="C669" i="8"/>
  <c r="A669" i="8"/>
  <c r="H668" i="8"/>
  <c r="G668" i="8"/>
  <c r="F668" i="8"/>
  <c r="E668" i="8"/>
  <c r="D668" i="8"/>
  <c r="C668" i="8"/>
  <c r="A668" i="8"/>
  <c r="H667" i="8"/>
  <c r="G667" i="8"/>
  <c r="F667" i="8"/>
  <c r="E667" i="8"/>
  <c r="D667" i="8"/>
  <c r="C667" i="8"/>
  <c r="A667" i="8"/>
  <c r="H666" i="8"/>
  <c r="G666" i="8"/>
  <c r="F666" i="8"/>
  <c r="E666" i="8"/>
  <c r="D666" i="8"/>
  <c r="C666" i="8"/>
  <c r="A666" i="8"/>
  <c r="H665" i="8"/>
  <c r="G665" i="8"/>
  <c r="F665" i="8"/>
  <c r="E665" i="8"/>
  <c r="D665" i="8"/>
  <c r="C665" i="8"/>
  <c r="A665" i="8"/>
  <c r="H664" i="8"/>
  <c r="G664" i="8"/>
  <c r="F664" i="8"/>
  <c r="E664" i="8"/>
  <c r="D664" i="8"/>
  <c r="C664" i="8"/>
  <c r="A664" i="8"/>
  <c r="H663" i="8"/>
  <c r="G663" i="8"/>
  <c r="F663" i="8"/>
  <c r="E663" i="8"/>
  <c r="D663" i="8"/>
  <c r="C663" i="8"/>
  <c r="A663" i="8"/>
  <c r="H662" i="8"/>
  <c r="G662" i="8"/>
  <c r="F662" i="8"/>
  <c r="E662" i="8"/>
  <c r="D662" i="8"/>
  <c r="C662" i="8"/>
  <c r="A662" i="8"/>
  <c r="H661" i="8"/>
  <c r="G661" i="8"/>
  <c r="F661" i="8"/>
  <c r="E661" i="8"/>
  <c r="D661" i="8"/>
  <c r="C661" i="8"/>
  <c r="A661" i="8"/>
  <c r="H660" i="8"/>
  <c r="G660" i="8"/>
  <c r="F660" i="8"/>
  <c r="E660" i="8"/>
  <c r="D660" i="8"/>
  <c r="C660" i="8"/>
  <c r="A660" i="8"/>
  <c r="H659" i="8"/>
  <c r="G659" i="8"/>
  <c r="F659" i="8"/>
  <c r="E659" i="8"/>
  <c r="D659" i="8"/>
  <c r="C659" i="8"/>
  <c r="A659" i="8"/>
  <c r="H658" i="8"/>
  <c r="G658" i="8"/>
  <c r="F658" i="8"/>
  <c r="E658" i="8"/>
  <c r="D658" i="8"/>
  <c r="C658" i="8"/>
  <c r="A658" i="8"/>
  <c r="H657" i="8"/>
  <c r="G657" i="8"/>
  <c r="F657" i="8"/>
  <c r="E657" i="8"/>
  <c r="D657" i="8"/>
  <c r="C657" i="8"/>
  <c r="A657" i="8"/>
  <c r="H656" i="8"/>
  <c r="G656" i="8"/>
  <c r="F656" i="8"/>
  <c r="E656" i="8"/>
  <c r="D656" i="8"/>
  <c r="C656" i="8"/>
  <c r="A656" i="8"/>
  <c r="H655" i="8"/>
  <c r="G655" i="8"/>
  <c r="F655" i="8"/>
  <c r="E655" i="8"/>
  <c r="D655" i="8"/>
  <c r="C655" i="8"/>
  <c r="A655" i="8"/>
  <c r="H654" i="8"/>
  <c r="G654" i="8"/>
  <c r="F654" i="8"/>
  <c r="E654" i="8"/>
  <c r="D654" i="8"/>
  <c r="C654" i="8"/>
  <c r="A654" i="8"/>
  <c r="H653" i="8"/>
  <c r="G653" i="8"/>
  <c r="F653" i="8"/>
  <c r="E653" i="8"/>
  <c r="D653" i="8"/>
  <c r="C653" i="8"/>
  <c r="A653" i="8"/>
  <c r="H652" i="8"/>
  <c r="G652" i="8"/>
  <c r="F652" i="8"/>
  <c r="E652" i="8"/>
  <c r="D652" i="8"/>
  <c r="C652" i="8"/>
  <c r="A652" i="8"/>
  <c r="H651" i="8"/>
  <c r="G651" i="8"/>
  <c r="F651" i="8"/>
  <c r="E651" i="8"/>
  <c r="D651" i="8"/>
  <c r="C651" i="8"/>
  <c r="A651" i="8"/>
  <c r="H650" i="8"/>
  <c r="G650" i="8"/>
  <c r="F650" i="8"/>
  <c r="E650" i="8"/>
  <c r="D650" i="8"/>
  <c r="C650" i="8"/>
  <c r="A650" i="8"/>
  <c r="H649" i="8"/>
  <c r="G649" i="8"/>
  <c r="F649" i="8"/>
  <c r="E649" i="8"/>
  <c r="D649" i="8"/>
  <c r="C649" i="8"/>
  <c r="A649" i="8"/>
  <c r="H648" i="8"/>
  <c r="G648" i="8"/>
  <c r="F648" i="8"/>
  <c r="E648" i="8"/>
  <c r="D648" i="8"/>
  <c r="C648" i="8"/>
  <c r="A648" i="8"/>
  <c r="H647" i="8"/>
  <c r="G647" i="8"/>
  <c r="F647" i="8"/>
  <c r="E647" i="8"/>
  <c r="D647" i="8"/>
  <c r="C647" i="8"/>
  <c r="A647" i="8"/>
  <c r="H646" i="8"/>
  <c r="G646" i="8"/>
  <c r="F646" i="8"/>
  <c r="E646" i="8"/>
  <c r="D646" i="8"/>
  <c r="C646" i="8"/>
  <c r="A646" i="8"/>
  <c r="H645" i="8"/>
  <c r="G645" i="8"/>
  <c r="F645" i="8"/>
  <c r="E645" i="8"/>
  <c r="D645" i="8"/>
  <c r="C645" i="8"/>
  <c r="A645" i="8"/>
  <c r="H644" i="8"/>
  <c r="G644" i="8"/>
  <c r="F644" i="8"/>
  <c r="E644" i="8"/>
  <c r="D644" i="8"/>
  <c r="C644" i="8"/>
  <c r="A644" i="8"/>
  <c r="H643" i="8"/>
  <c r="G643" i="8"/>
  <c r="F643" i="8"/>
  <c r="E643" i="8"/>
  <c r="D643" i="8"/>
  <c r="C643" i="8"/>
  <c r="A643" i="8"/>
  <c r="H642" i="8"/>
  <c r="G642" i="8"/>
  <c r="F642" i="8"/>
  <c r="E642" i="8"/>
  <c r="D642" i="8"/>
  <c r="C642" i="8"/>
  <c r="A642" i="8"/>
  <c r="H641" i="8"/>
  <c r="G641" i="8"/>
  <c r="F641" i="8"/>
  <c r="E641" i="8"/>
  <c r="D641" i="8"/>
  <c r="C641" i="8"/>
  <c r="A641" i="8"/>
  <c r="H640" i="8"/>
  <c r="G640" i="8"/>
  <c r="F640" i="8"/>
  <c r="E640" i="8"/>
  <c r="D640" i="8"/>
  <c r="C640" i="8"/>
  <c r="A640" i="8"/>
  <c r="H639" i="8"/>
  <c r="G639" i="8"/>
  <c r="F639" i="8"/>
  <c r="E639" i="8"/>
  <c r="D639" i="8"/>
  <c r="C639" i="8"/>
  <c r="A639" i="8"/>
  <c r="H638" i="8"/>
  <c r="G638" i="8"/>
  <c r="F638" i="8"/>
  <c r="E638" i="8"/>
  <c r="D638" i="8"/>
  <c r="C638" i="8"/>
  <c r="A638" i="8"/>
  <c r="H637" i="8"/>
  <c r="G637" i="8"/>
  <c r="F637" i="8"/>
  <c r="E637" i="8"/>
  <c r="D637" i="8"/>
  <c r="C637" i="8"/>
  <c r="A637" i="8"/>
  <c r="H636" i="8"/>
  <c r="G636" i="8"/>
  <c r="F636" i="8"/>
  <c r="E636" i="8"/>
  <c r="D636" i="8"/>
  <c r="C636" i="8"/>
  <c r="A636" i="8"/>
  <c r="H635" i="8"/>
  <c r="G635" i="8"/>
  <c r="F635" i="8"/>
  <c r="E635" i="8"/>
  <c r="D635" i="8"/>
  <c r="C635" i="8"/>
  <c r="A635" i="8"/>
  <c r="H634" i="8"/>
  <c r="G634" i="8"/>
  <c r="F634" i="8"/>
  <c r="E634" i="8"/>
  <c r="D634" i="8"/>
  <c r="C634" i="8"/>
  <c r="A634" i="8"/>
  <c r="H633" i="8"/>
  <c r="G633" i="8"/>
  <c r="F633" i="8"/>
  <c r="E633" i="8"/>
  <c r="D633" i="8"/>
  <c r="C633" i="8"/>
  <c r="A633" i="8"/>
  <c r="H632" i="8"/>
  <c r="G632" i="8"/>
  <c r="F632" i="8"/>
  <c r="E632" i="8"/>
  <c r="D632" i="8"/>
  <c r="C632" i="8"/>
  <c r="A632" i="8"/>
  <c r="H631" i="8"/>
  <c r="G631" i="8"/>
  <c r="F631" i="8"/>
  <c r="E631" i="8"/>
  <c r="D631" i="8"/>
  <c r="C631" i="8"/>
  <c r="A631" i="8"/>
  <c r="H630" i="8"/>
  <c r="G630" i="8"/>
  <c r="F630" i="8"/>
  <c r="E630" i="8"/>
  <c r="D630" i="8"/>
  <c r="C630" i="8"/>
  <c r="A630" i="8"/>
  <c r="H629" i="8"/>
  <c r="G629" i="8"/>
  <c r="F629" i="8"/>
  <c r="E629" i="8"/>
  <c r="D629" i="8"/>
  <c r="C629" i="8"/>
  <c r="A629" i="8"/>
  <c r="H628" i="8"/>
  <c r="G628" i="8"/>
  <c r="F628" i="8"/>
  <c r="E628" i="8"/>
  <c r="D628" i="8"/>
  <c r="C628" i="8"/>
  <c r="A628" i="8"/>
  <c r="H627" i="8"/>
  <c r="G627" i="8"/>
  <c r="F627" i="8"/>
  <c r="E627" i="8"/>
  <c r="D627" i="8"/>
  <c r="C627" i="8"/>
  <c r="A627" i="8"/>
  <c r="H626" i="8"/>
  <c r="G626" i="8"/>
  <c r="F626" i="8"/>
  <c r="E626" i="8"/>
  <c r="D626" i="8"/>
  <c r="C626" i="8"/>
  <c r="A626" i="8"/>
  <c r="H625" i="8"/>
  <c r="G625" i="8"/>
  <c r="F625" i="8"/>
  <c r="E625" i="8"/>
  <c r="D625" i="8"/>
  <c r="C625" i="8"/>
  <c r="A625" i="8"/>
  <c r="H624" i="8"/>
  <c r="G624" i="8"/>
  <c r="F624" i="8"/>
  <c r="E624" i="8"/>
  <c r="D624" i="8"/>
  <c r="C624" i="8"/>
  <c r="A624" i="8"/>
  <c r="H623" i="8"/>
  <c r="G623" i="8"/>
  <c r="F623" i="8"/>
  <c r="E623" i="8"/>
  <c r="D623" i="8"/>
  <c r="C623" i="8"/>
  <c r="A623" i="8"/>
  <c r="H622" i="8"/>
  <c r="G622" i="8"/>
  <c r="F622" i="8"/>
  <c r="E622" i="8"/>
  <c r="D622" i="8"/>
  <c r="C622" i="8"/>
  <c r="A622" i="8"/>
  <c r="H621" i="8"/>
  <c r="G621" i="8"/>
  <c r="F621" i="8"/>
  <c r="E621" i="8"/>
  <c r="D621" i="8"/>
  <c r="C621" i="8"/>
  <c r="A621" i="8"/>
  <c r="H620" i="8"/>
  <c r="G620" i="8"/>
  <c r="F620" i="8"/>
  <c r="E620" i="8"/>
  <c r="D620" i="8"/>
  <c r="C620" i="8"/>
  <c r="A620" i="8"/>
  <c r="H619" i="8"/>
  <c r="G619" i="8"/>
  <c r="F619" i="8"/>
  <c r="E619" i="8"/>
  <c r="D619" i="8"/>
  <c r="C619" i="8"/>
  <c r="A619" i="8"/>
  <c r="H618" i="8"/>
  <c r="G618" i="8"/>
  <c r="F618" i="8"/>
  <c r="E618" i="8"/>
  <c r="D618" i="8"/>
  <c r="C618" i="8"/>
  <c r="A618" i="8"/>
  <c r="H617" i="8"/>
  <c r="G617" i="8"/>
  <c r="F617" i="8"/>
  <c r="E617" i="8"/>
  <c r="D617" i="8"/>
  <c r="C617" i="8"/>
  <c r="A617" i="8"/>
  <c r="H616" i="8"/>
  <c r="G616" i="8"/>
  <c r="F616" i="8"/>
  <c r="E616" i="8"/>
  <c r="D616" i="8"/>
  <c r="C616" i="8"/>
  <c r="A616" i="8"/>
  <c r="H615" i="8"/>
  <c r="G615" i="8"/>
  <c r="F615" i="8"/>
  <c r="E615" i="8"/>
  <c r="D615" i="8"/>
  <c r="C615" i="8"/>
  <c r="A615" i="8"/>
  <c r="H614" i="8"/>
  <c r="G614" i="8"/>
  <c r="F614" i="8"/>
  <c r="E614" i="8"/>
  <c r="D614" i="8"/>
  <c r="C614" i="8"/>
  <c r="A614" i="8"/>
  <c r="H613" i="8"/>
  <c r="G613" i="8"/>
  <c r="F613" i="8"/>
  <c r="E613" i="8"/>
  <c r="D613" i="8"/>
  <c r="C613" i="8"/>
  <c r="A613" i="8"/>
  <c r="H612" i="8"/>
  <c r="G612" i="8"/>
  <c r="F612" i="8"/>
  <c r="E612" i="8"/>
  <c r="D612" i="8"/>
  <c r="C612" i="8"/>
  <c r="A612" i="8"/>
  <c r="H611" i="8"/>
  <c r="G611" i="8"/>
  <c r="F611" i="8"/>
  <c r="E611" i="8"/>
  <c r="D611" i="8"/>
  <c r="C611" i="8"/>
  <c r="A611" i="8"/>
  <c r="H610" i="8"/>
  <c r="G610" i="8"/>
  <c r="F610" i="8"/>
  <c r="E610" i="8"/>
  <c r="D610" i="8"/>
  <c r="C610" i="8"/>
  <c r="A610" i="8"/>
  <c r="H609" i="8"/>
  <c r="G609" i="8"/>
  <c r="F609" i="8"/>
  <c r="E609" i="8"/>
  <c r="D609" i="8"/>
  <c r="C609" i="8"/>
  <c r="A609" i="8"/>
  <c r="H608" i="8"/>
  <c r="G608" i="8"/>
  <c r="F608" i="8"/>
  <c r="E608" i="8"/>
  <c r="D608" i="8"/>
  <c r="C608" i="8"/>
  <c r="A608" i="8"/>
  <c r="H607" i="8"/>
  <c r="G607" i="8"/>
  <c r="F607" i="8"/>
  <c r="E607" i="8"/>
  <c r="D607" i="8"/>
  <c r="C607" i="8"/>
  <c r="A607" i="8"/>
  <c r="H606" i="8"/>
  <c r="G606" i="8"/>
  <c r="F606" i="8"/>
  <c r="E606" i="8"/>
  <c r="D606" i="8"/>
  <c r="C606" i="8"/>
  <c r="A606" i="8"/>
  <c r="H605" i="8"/>
  <c r="G605" i="8"/>
  <c r="F605" i="8"/>
  <c r="E605" i="8"/>
  <c r="D605" i="8"/>
  <c r="C605" i="8"/>
  <c r="A605" i="8"/>
  <c r="H604" i="8"/>
  <c r="G604" i="8"/>
  <c r="F604" i="8"/>
  <c r="E604" i="8"/>
  <c r="D604" i="8"/>
  <c r="C604" i="8"/>
  <c r="A604" i="8"/>
  <c r="H603" i="8"/>
  <c r="G603" i="8"/>
  <c r="F603" i="8"/>
  <c r="E603" i="8"/>
  <c r="D603" i="8"/>
  <c r="C603" i="8"/>
  <c r="A603" i="8"/>
  <c r="H602" i="8"/>
  <c r="G602" i="8"/>
  <c r="F602" i="8"/>
  <c r="E602" i="8"/>
  <c r="D602" i="8"/>
  <c r="C602" i="8"/>
  <c r="A602" i="8"/>
  <c r="H601" i="8"/>
  <c r="G601" i="8"/>
  <c r="F601" i="8"/>
  <c r="E601" i="8"/>
  <c r="D601" i="8"/>
  <c r="C601" i="8"/>
  <c r="A601" i="8"/>
  <c r="H600" i="8"/>
  <c r="G600" i="8"/>
  <c r="F600" i="8"/>
  <c r="E600" i="8"/>
  <c r="D600" i="8"/>
  <c r="C600" i="8"/>
  <c r="A600" i="8"/>
  <c r="H599" i="8"/>
  <c r="G599" i="8"/>
  <c r="F599" i="8"/>
  <c r="E599" i="8"/>
  <c r="D599" i="8"/>
  <c r="C599" i="8"/>
  <c r="A599" i="8"/>
  <c r="H598" i="8"/>
  <c r="G598" i="8"/>
  <c r="F598" i="8"/>
  <c r="E598" i="8"/>
  <c r="D598" i="8"/>
  <c r="C598" i="8"/>
  <c r="A598" i="8"/>
  <c r="H597" i="8"/>
  <c r="G597" i="8"/>
  <c r="F597" i="8"/>
  <c r="E597" i="8"/>
  <c r="D597" i="8"/>
  <c r="C597" i="8"/>
  <c r="A597" i="8"/>
  <c r="H596" i="8"/>
  <c r="G596" i="8"/>
  <c r="F596" i="8"/>
  <c r="E596" i="8"/>
  <c r="D596" i="8"/>
  <c r="C596" i="8"/>
  <c r="A596" i="8"/>
  <c r="H595" i="8"/>
  <c r="G595" i="8"/>
  <c r="F595" i="8"/>
  <c r="E595" i="8"/>
  <c r="D595" i="8"/>
  <c r="C595" i="8"/>
  <c r="A595" i="8"/>
  <c r="H594" i="8"/>
  <c r="G594" i="8"/>
  <c r="F594" i="8"/>
  <c r="E594" i="8"/>
  <c r="D594" i="8"/>
  <c r="C594" i="8"/>
  <c r="A594" i="8"/>
  <c r="H593" i="8"/>
  <c r="G593" i="8"/>
  <c r="F593" i="8"/>
  <c r="E593" i="8"/>
  <c r="D593" i="8"/>
  <c r="C593" i="8"/>
  <c r="A593" i="8"/>
  <c r="H592" i="8"/>
  <c r="G592" i="8"/>
  <c r="F592" i="8"/>
  <c r="E592" i="8"/>
  <c r="D592" i="8"/>
  <c r="C592" i="8"/>
  <c r="A592" i="8"/>
  <c r="H591" i="8"/>
  <c r="G591" i="8"/>
  <c r="F591" i="8"/>
  <c r="E591" i="8"/>
  <c r="D591" i="8"/>
  <c r="C591" i="8"/>
  <c r="A591" i="8"/>
  <c r="H590" i="8"/>
  <c r="G590" i="8"/>
  <c r="F590" i="8"/>
  <c r="E590" i="8"/>
  <c r="D590" i="8"/>
  <c r="C590" i="8"/>
  <c r="A590" i="8"/>
  <c r="H589" i="8"/>
  <c r="G589" i="8"/>
  <c r="F589" i="8"/>
  <c r="E589" i="8"/>
  <c r="D589" i="8"/>
  <c r="C589" i="8"/>
  <c r="A589" i="8"/>
  <c r="H588" i="8"/>
  <c r="G588" i="8"/>
  <c r="F588" i="8"/>
  <c r="E588" i="8"/>
  <c r="D588" i="8"/>
  <c r="C588" i="8"/>
  <c r="A588" i="8"/>
  <c r="H587" i="8"/>
  <c r="G587" i="8"/>
  <c r="F587" i="8"/>
  <c r="E587" i="8"/>
  <c r="D587" i="8"/>
  <c r="C587" i="8"/>
  <c r="A587" i="8"/>
  <c r="H586" i="8"/>
  <c r="G586" i="8"/>
  <c r="F586" i="8"/>
  <c r="E586" i="8"/>
  <c r="D586" i="8"/>
  <c r="C586" i="8"/>
  <c r="A586" i="8"/>
  <c r="H585" i="8"/>
  <c r="G585" i="8"/>
  <c r="F585" i="8"/>
  <c r="E585" i="8"/>
  <c r="D585" i="8"/>
  <c r="C585" i="8"/>
  <c r="A585" i="8"/>
  <c r="H584" i="8"/>
  <c r="G584" i="8"/>
  <c r="F584" i="8"/>
  <c r="E584" i="8"/>
  <c r="D584" i="8"/>
  <c r="C584" i="8"/>
  <c r="A584" i="8"/>
  <c r="H583" i="8"/>
  <c r="G583" i="8"/>
  <c r="F583" i="8"/>
  <c r="E583" i="8"/>
  <c r="D583" i="8"/>
  <c r="C583" i="8"/>
  <c r="A583" i="8"/>
  <c r="H582" i="8"/>
  <c r="G582" i="8"/>
  <c r="F582" i="8"/>
  <c r="E582" i="8"/>
  <c r="D582" i="8"/>
  <c r="C582" i="8"/>
  <c r="A582" i="8"/>
  <c r="H581" i="8"/>
  <c r="G581" i="8"/>
  <c r="F581" i="8"/>
  <c r="E581" i="8"/>
  <c r="D581" i="8"/>
  <c r="C581" i="8"/>
  <c r="A581" i="8"/>
  <c r="H580" i="8"/>
  <c r="G580" i="8"/>
  <c r="F580" i="8"/>
  <c r="E580" i="8"/>
  <c r="D580" i="8"/>
  <c r="C580" i="8"/>
  <c r="A580" i="8"/>
  <c r="H579" i="8"/>
  <c r="G579" i="8"/>
  <c r="F579" i="8"/>
  <c r="E579" i="8"/>
  <c r="D579" i="8"/>
  <c r="C579" i="8"/>
  <c r="A579" i="8"/>
  <c r="H578" i="8"/>
  <c r="G578" i="8"/>
  <c r="F578" i="8"/>
  <c r="E578" i="8"/>
  <c r="D578" i="8"/>
  <c r="C578" i="8"/>
  <c r="A578" i="8"/>
  <c r="H577" i="8"/>
  <c r="G577" i="8"/>
  <c r="F577" i="8"/>
  <c r="E577" i="8"/>
  <c r="D577" i="8"/>
  <c r="C577" i="8"/>
  <c r="A577" i="8"/>
  <c r="H576" i="8"/>
  <c r="G576" i="8"/>
  <c r="F576" i="8"/>
  <c r="E576" i="8"/>
  <c r="D576" i="8"/>
  <c r="C576" i="8"/>
  <c r="A576" i="8"/>
  <c r="H575" i="8"/>
  <c r="G575" i="8"/>
  <c r="F575" i="8"/>
  <c r="E575" i="8"/>
  <c r="D575" i="8"/>
  <c r="C575" i="8"/>
  <c r="A575" i="8"/>
  <c r="H574" i="8"/>
  <c r="G574" i="8"/>
  <c r="F574" i="8"/>
  <c r="E574" i="8"/>
  <c r="D574" i="8"/>
  <c r="C574" i="8"/>
  <c r="A574" i="8"/>
  <c r="H573" i="8"/>
  <c r="G573" i="8"/>
  <c r="F573" i="8"/>
  <c r="E573" i="8"/>
  <c r="D573" i="8"/>
  <c r="C573" i="8"/>
  <c r="A573" i="8"/>
  <c r="H572" i="8"/>
  <c r="G572" i="8"/>
  <c r="F572" i="8"/>
  <c r="E572" i="8"/>
  <c r="D572" i="8"/>
  <c r="C572" i="8"/>
  <c r="A572" i="8"/>
  <c r="H571" i="8"/>
  <c r="G571" i="8"/>
  <c r="F571" i="8"/>
  <c r="E571" i="8"/>
  <c r="D571" i="8"/>
  <c r="C571" i="8"/>
  <c r="A571" i="8"/>
  <c r="H570" i="8"/>
  <c r="G570" i="8"/>
  <c r="F570" i="8"/>
  <c r="E570" i="8"/>
  <c r="D570" i="8"/>
  <c r="C570" i="8"/>
  <c r="A570" i="8"/>
  <c r="H569" i="8"/>
  <c r="G569" i="8"/>
  <c r="F569" i="8"/>
  <c r="E569" i="8"/>
  <c r="D569" i="8"/>
  <c r="C569" i="8"/>
  <c r="A569" i="8"/>
  <c r="H568" i="8"/>
  <c r="G568" i="8"/>
  <c r="F568" i="8"/>
  <c r="E568" i="8"/>
  <c r="D568" i="8"/>
  <c r="C568" i="8"/>
  <c r="A568" i="8"/>
  <c r="H567" i="8"/>
  <c r="G567" i="8"/>
  <c r="F567" i="8"/>
  <c r="E567" i="8"/>
  <c r="D567" i="8"/>
  <c r="C567" i="8"/>
  <c r="A567" i="8"/>
  <c r="H566" i="8"/>
  <c r="G566" i="8"/>
  <c r="F566" i="8"/>
  <c r="E566" i="8"/>
  <c r="D566" i="8"/>
  <c r="C566" i="8"/>
  <c r="A566" i="8"/>
  <c r="H565" i="8"/>
  <c r="G565" i="8"/>
  <c r="F565" i="8"/>
  <c r="E565" i="8"/>
  <c r="D565" i="8"/>
  <c r="C565" i="8"/>
  <c r="A565" i="8"/>
  <c r="H564" i="8"/>
  <c r="G564" i="8"/>
  <c r="F564" i="8"/>
  <c r="E564" i="8"/>
  <c r="D564" i="8"/>
  <c r="C564" i="8"/>
  <c r="A564" i="8"/>
  <c r="H563" i="8"/>
  <c r="G563" i="8"/>
  <c r="F563" i="8"/>
  <c r="E563" i="8"/>
  <c r="D563" i="8"/>
  <c r="C563" i="8"/>
  <c r="A563" i="8"/>
  <c r="H562" i="8"/>
  <c r="G562" i="8"/>
  <c r="F562" i="8"/>
  <c r="E562" i="8"/>
  <c r="D562" i="8"/>
  <c r="C562" i="8"/>
  <c r="A562" i="8"/>
  <c r="H561" i="8"/>
  <c r="G561" i="8"/>
  <c r="F561" i="8"/>
  <c r="E561" i="8"/>
  <c r="D561" i="8"/>
  <c r="C561" i="8"/>
  <c r="A561" i="8"/>
  <c r="H560" i="8"/>
  <c r="G560" i="8"/>
  <c r="F560" i="8"/>
  <c r="E560" i="8"/>
  <c r="D560" i="8"/>
  <c r="C560" i="8"/>
  <c r="A560" i="8"/>
  <c r="H559" i="8"/>
  <c r="G559" i="8"/>
  <c r="F559" i="8"/>
  <c r="E559" i="8"/>
  <c r="D559" i="8"/>
  <c r="C559" i="8"/>
  <c r="A559" i="8"/>
  <c r="H558" i="8"/>
  <c r="G558" i="8"/>
  <c r="F558" i="8"/>
  <c r="E558" i="8"/>
  <c r="D558" i="8"/>
  <c r="C558" i="8"/>
  <c r="A558" i="8"/>
  <c r="H557" i="8"/>
  <c r="G557" i="8"/>
  <c r="F557" i="8"/>
  <c r="E557" i="8"/>
  <c r="D557" i="8"/>
  <c r="C557" i="8"/>
  <c r="A557" i="8"/>
  <c r="H556" i="8"/>
  <c r="G556" i="8"/>
  <c r="F556" i="8"/>
  <c r="E556" i="8"/>
  <c r="D556" i="8"/>
  <c r="C556" i="8"/>
  <c r="A556" i="8"/>
  <c r="H555" i="8"/>
  <c r="G555" i="8"/>
  <c r="F555" i="8"/>
  <c r="E555" i="8"/>
  <c r="D555" i="8"/>
  <c r="C555" i="8"/>
  <c r="A555" i="8"/>
  <c r="H554" i="8"/>
  <c r="G554" i="8"/>
  <c r="F554" i="8"/>
  <c r="E554" i="8"/>
  <c r="D554" i="8"/>
  <c r="C554" i="8"/>
  <c r="A554" i="8"/>
  <c r="H553" i="8"/>
  <c r="G553" i="8"/>
  <c r="F553" i="8"/>
  <c r="E553" i="8"/>
  <c r="D553" i="8"/>
  <c r="C553" i="8"/>
  <c r="A553" i="8"/>
  <c r="H552" i="8"/>
  <c r="G552" i="8"/>
  <c r="F552" i="8"/>
  <c r="E552" i="8"/>
  <c r="D552" i="8"/>
  <c r="C552" i="8"/>
  <c r="A552" i="8"/>
  <c r="H551" i="8"/>
  <c r="G551" i="8"/>
  <c r="F551" i="8"/>
  <c r="E551" i="8"/>
  <c r="D551" i="8"/>
  <c r="C551" i="8"/>
  <c r="A551" i="8"/>
  <c r="H550" i="8"/>
  <c r="G550" i="8"/>
  <c r="F550" i="8"/>
  <c r="E550" i="8"/>
  <c r="D550" i="8"/>
  <c r="C550" i="8"/>
  <c r="A550" i="8"/>
  <c r="H549" i="8"/>
  <c r="G549" i="8"/>
  <c r="F549" i="8"/>
  <c r="E549" i="8"/>
  <c r="D549" i="8"/>
  <c r="C549" i="8"/>
  <c r="A549" i="8"/>
  <c r="H548" i="8"/>
  <c r="G548" i="8"/>
  <c r="F548" i="8"/>
  <c r="E548" i="8"/>
  <c r="D548" i="8"/>
  <c r="C548" i="8"/>
  <c r="A548" i="8"/>
  <c r="H547" i="8"/>
  <c r="G547" i="8"/>
  <c r="F547" i="8"/>
  <c r="E547" i="8"/>
  <c r="D547" i="8"/>
  <c r="C547" i="8"/>
  <c r="A547" i="8"/>
  <c r="H546" i="8"/>
  <c r="G546" i="8"/>
  <c r="F546" i="8"/>
  <c r="E546" i="8"/>
  <c r="D546" i="8"/>
  <c r="C546" i="8"/>
  <c r="A546" i="8"/>
  <c r="H545" i="8"/>
  <c r="G545" i="8"/>
  <c r="F545" i="8"/>
  <c r="E545" i="8"/>
  <c r="D545" i="8"/>
  <c r="C545" i="8"/>
  <c r="A545" i="8"/>
  <c r="H544" i="8"/>
  <c r="G544" i="8"/>
  <c r="F544" i="8"/>
  <c r="E544" i="8"/>
  <c r="D544" i="8"/>
  <c r="C544" i="8"/>
  <c r="A544" i="8"/>
  <c r="H543" i="8"/>
  <c r="G543" i="8"/>
  <c r="F543" i="8"/>
  <c r="E543" i="8"/>
  <c r="D543" i="8"/>
  <c r="C543" i="8"/>
  <c r="A543" i="8"/>
  <c r="H542" i="8"/>
  <c r="G542" i="8"/>
  <c r="F542" i="8"/>
  <c r="E542" i="8"/>
  <c r="D542" i="8"/>
  <c r="C542" i="8"/>
  <c r="A542" i="8"/>
  <c r="H541" i="8"/>
  <c r="G541" i="8"/>
  <c r="F541" i="8"/>
  <c r="E541" i="8"/>
  <c r="D541" i="8"/>
  <c r="C541" i="8"/>
  <c r="A541" i="8"/>
  <c r="H540" i="8"/>
  <c r="G540" i="8"/>
  <c r="F540" i="8"/>
  <c r="E540" i="8"/>
  <c r="D540" i="8"/>
  <c r="C540" i="8"/>
  <c r="A540" i="8"/>
  <c r="H539" i="8"/>
  <c r="G539" i="8"/>
  <c r="F539" i="8"/>
  <c r="E539" i="8"/>
  <c r="D539" i="8"/>
  <c r="C539" i="8"/>
  <c r="A539" i="8"/>
  <c r="H538" i="8"/>
  <c r="G538" i="8"/>
  <c r="F538" i="8"/>
  <c r="E538" i="8"/>
  <c r="D538" i="8"/>
  <c r="C538" i="8"/>
  <c r="A538" i="8"/>
  <c r="H537" i="8"/>
  <c r="G537" i="8"/>
  <c r="F537" i="8"/>
  <c r="E537" i="8"/>
  <c r="D537" i="8"/>
  <c r="C537" i="8"/>
  <c r="A537" i="8"/>
  <c r="H536" i="8"/>
  <c r="G536" i="8"/>
  <c r="F536" i="8"/>
  <c r="E536" i="8"/>
  <c r="D536" i="8"/>
  <c r="C536" i="8"/>
  <c r="A536" i="8"/>
  <c r="H535" i="8"/>
  <c r="G535" i="8"/>
  <c r="F535" i="8"/>
  <c r="E535" i="8"/>
  <c r="D535" i="8"/>
  <c r="C535" i="8"/>
  <c r="A535" i="8"/>
  <c r="H534" i="8"/>
  <c r="G534" i="8"/>
  <c r="F534" i="8"/>
  <c r="E534" i="8"/>
  <c r="D534" i="8"/>
  <c r="C534" i="8"/>
  <c r="A534" i="8"/>
  <c r="H533" i="8"/>
  <c r="G533" i="8"/>
  <c r="F533" i="8"/>
  <c r="E533" i="8"/>
  <c r="D533" i="8"/>
  <c r="C533" i="8"/>
  <c r="A533" i="8"/>
  <c r="H532" i="8"/>
  <c r="G532" i="8"/>
  <c r="F532" i="8"/>
  <c r="E532" i="8"/>
  <c r="D532" i="8"/>
  <c r="C532" i="8"/>
  <c r="A532" i="8"/>
  <c r="H531" i="8"/>
  <c r="G531" i="8"/>
  <c r="F531" i="8"/>
  <c r="E531" i="8"/>
  <c r="D531" i="8"/>
  <c r="C531" i="8"/>
  <c r="A531" i="8"/>
  <c r="H530" i="8"/>
  <c r="G530" i="8"/>
  <c r="F530" i="8"/>
  <c r="E530" i="8"/>
  <c r="D530" i="8"/>
  <c r="C530" i="8"/>
  <c r="A530" i="8"/>
  <c r="H529" i="8"/>
  <c r="G529" i="8"/>
  <c r="F529" i="8"/>
  <c r="E529" i="8"/>
  <c r="D529" i="8"/>
  <c r="C529" i="8"/>
  <c r="A529" i="8"/>
  <c r="H528" i="8"/>
  <c r="G528" i="8"/>
  <c r="F528" i="8"/>
  <c r="E528" i="8"/>
  <c r="D528" i="8"/>
  <c r="C528" i="8"/>
  <c r="A528" i="8"/>
  <c r="H527" i="8"/>
  <c r="G527" i="8"/>
  <c r="F527" i="8"/>
  <c r="E527" i="8"/>
  <c r="D527" i="8"/>
  <c r="C527" i="8"/>
  <c r="A527" i="8"/>
  <c r="H526" i="8"/>
  <c r="G526" i="8"/>
  <c r="F526" i="8"/>
  <c r="E526" i="8"/>
  <c r="D526" i="8"/>
  <c r="C526" i="8"/>
  <c r="A526" i="8"/>
  <c r="H525" i="8"/>
  <c r="G525" i="8"/>
  <c r="F525" i="8"/>
  <c r="E525" i="8"/>
  <c r="D525" i="8"/>
  <c r="C525" i="8"/>
  <c r="A525" i="8"/>
  <c r="H524" i="8"/>
  <c r="G524" i="8"/>
  <c r="F524" i="8"/>
  <c r="E524" i="8"/>
  <c r="D524" i="8"/>
  <c r="C524" i="8"/>
  <c r="A524" i="8"/>
  <c r="H523" i="8"/>
  <c r="G523" i="8"/>
  <c r="F523" i="8"/>
  <c r="E523" i="8"/>
  <c r="D523" i="8"/>
  <c r="C523" i="8"/>
  <c r="A523" i="8"/>
  <c r="H522" i="8"/>
  <c r="G522" i="8"/>
  <c r="F522" i="8"/>
  <c r="E522" i="8"/>
  <c r="D522" i="8"/>
  <c r="C522" i="8"/>
  <c r="A522" i="8"/>
  <c r="H521" i="8"/>
  <c r="G521" i="8"/>
  <c r="F521" i="8"/>
  <c r="E521" i="8"/>
  <c r="D521" i="8"/>
  <c r="C521" i="8"/>
  <c r="A521" i="8"/>
  <c r="H520" i="8"/>
  <c r="G520" i="8"/>
  <c r="F520" i="8"/>
  <c r="E520" i="8"/>
  <c r="D520" i="8"/>
  <c r="C520" i="8"/>
  <c r="A520" i="8"/>
  <c r="H519" i="8"/>
  <c r="G519" i="8"/>
  <c r="F519" i="8"/>
  <c r="E519" i="8"/>
  <c r="D519" i="8"/>
  <c r="C519" i="8"/>
  <c r="A519" i="8"/>
  <c r="H518" i="8"/>
  <c r="G518" i="8"/>
  <c r="F518" i="8"/>
  <c r="E518" i="8"/>
  <c r="D518" i="8"/>
  <c r="C518" i="8"/>
  <c r="A518" i="8"/>
  <c r="H517" i="8"/>
  <c r="G517" i="8"/>
  <c r="F517" i="8"/>
  <c r="E517" i="8"/>
  <c r="D517" i="8"/>
  <c r="C517" i="8"/>
  <c r="A517" i="8"/>
  <c r="H516" i="8"/>
  <c r="G516" i="8"/>
  <c r="F516" i="8"/>
  <c r="E516" i="8"/>
  <c r="D516" i="8"/>
  <c r="C516" i="8"/>
  <c r="A516" i="8"/>
  <c r="H515" i="8"/>
  <c r="G515" i="8"/>
  <c r="F515" i="8"/>
  <c r="E515" i="8"/>
  <c r="D515" i="8"/>
  <c r="C515" i="8"/>
  <c r="A515" i="8"/>
  <c r="H514" i="8"/>
  <c r="G514" i="8"/>
  <c r="F514" i="8"/>
  <c r="E514" i="8"/>
  <c r="D514" i="8"/>
  <c r="C514" i="8"/>
  <c r="A514" i="8"/>
  <c r="H513" i="8"/>
  <c r="G513" i="8"/>
  <c r="F513" i="8"/>
  <c r="E513" i="8"/>
  <c r="D513" i="8"/>
  <c r="C513" i="8"/>
  <c r="A513" i="8"/>
  <c r="H512" i="8"/>
  <c r="G512" i="8"/>
  <c r="F512" i="8"/>
  <c r="E512" i="8"/>
  <c r="D512" i="8"/>
  <c r="C512" i="8"/>
  <c r="A512" i="8"/>
  <c r="H511" i="8"/>
  <c r="G511" i="8"/>
  <c r="F511" i="8"/>
  <c r="E511" i="8"/>
  <c r="D511" i="8"/>
  <c r="C511" i="8"/>
  <c r="A511" i="8"/>
  <c r="H510" i="8"/>
  <c r="G510" i="8"/>
  <c r="F510" i="8"/>
  <c r="E510" i="8"/>
  <c r="D510" i="8"/>
  <c r="C510" i="8"/>
  <c r="A510" i="8"/>
  <c r="H509" i="8"/>
  <c r="G509" i="8"/>
  <c r="F509" i="8"/>
  <c r="E509" i="8"/>
  <c r="D509" i="8"/>
  <c r="C509" i="8"/>
  <c r="A509" i="8"/>
  <c r="H508" i="8"/>
  <c r="G508" i="8"/>
  <c r="F508" i="8"/>
  <c r="E508" i="8"/>
  <c r="D508" i="8"/>
  <c r="C508" i="8"/>
  <c r="A508" i="8"/>
  <c r="H507" i="8"/>
  <c r="G507" i="8"/>
  <c r="F507" i="8"/>
  <c r="E507" i="8"/>
  <c r="D507" i="8"/>
  <c r="C507" i="8"/>
  <c r="A507" i="8"/>
  <c r="H506" i="8"/>
  <c r="G506" i="8"/>
  <c r="F506" i="8"/>
  <c r="E506" i="8"/>
  <c r="D506" i="8"/>
  <c r="C506" i="8"/>
  <c r="A506" i="8"/>
  <c r="H505" i="8"/>
  <c r="G505" i="8"/>
  <c r="F505" i="8"/>
  <c r="E505" i="8"/>
  <c r="D505" i="8"/>
  <c r="C505" i="8"/>
  <c r="A505" i="8"/>
  <c r="H504" i="8"/>
  <c r="G504" i="8"/>
  <c r="F504" i="8"/>
  <c r="E504" i="8"/>
  <c r="D504" i="8"/>
  <c r="C504" i="8"/>
  <c r="A504" i="8"/>
  <c r="H503" i="8"/>
  <c r="G503" i="8"/>
  <c r="F503" i="8"/>
  <c r="E503" i="8"/>
  <c r="D503" i="8"/>
  <c r="C503" i="8"/>
  <c r="A503" i="8"/>
  <c r="H502" i="8"/>
  <c r="G502" i="8"/>
  <c r="F502" i="8"/>
  <c r="E502" i="8"/>
  <c r="D502" i="8"/>
  <c r="C502" i="8"/>
  <c r="A502" i="8"/>
  <c r="H501" i="8"/>
  <c r="G501" i="8"/>
  <c r="F501" i="8"/>
  <c r="E501" i="8"/>
  <c r="D501" i="8"/>
  <c r="C501" i="8"/>
  <c r="A501" i="8"/>
  <c r="H500" i="8"/>
  <c r="G500" i="8"/>
  <c r="F500" i="8"/>
  <c r="E500" i="8"/>
  <c r="D500" i="8"/>
  <c r="C500" i="8"/>
  <c r="A500" i="8"/>
  <c r="H499" i="8"/>
  <c r="G499" i="8"/>
  <c r="F499" i="8"/>
  <c r="E499" i="8"/>
  <c r="D499" i="8"/>
  <c r="C499" i="8"/>
  <c r="A499" i="8"/>
  <c r="H498" i="8"/>
  <c r="G498" i="8"/>
  <c r="F498" i="8"/>
  <c r="E498" i="8"/>
  <c r="D498" i="8"/>
  <c r="C498" i="8"/>
  <c r="A498" i="8"/>
  <c r="H497" i="8"/>
  <c r="G497" i="8"/>
  <c r="F497" i="8"/>
  <c r="E497" i="8"/>
  <c r="D497" i="8"/>
  <c r="C497" i="8"/>
  <c r="A497" i="8"/>
  <c r="H496" i="8"/>
  <c r="G496" i="8"/>
  <c r="F496" i="8"/>
  <c r="E496" i="8"/>
  <c r="D496" i="8"/>
  <c r="C496" i="8"/>
  <c r="A496" i="8"/>
  <c r="H495" i="8"/>
  <c r="G495" i="8"/>
  <c r="F495" i="8"/>
  <c r="E495" i="8"/>
  <c r="D495" i="8"/>
  <c r="C495" i="8"/>
  <c r="A495" i="8"/>
  <c r="H494" i="8"/>
  <c r="G494" i="8"/>
  <c r="F494" i="8"/>
  <c r="E494" i="8"/>
  <c r="D494" i="8"/>
  <c r="C494" i="8"/>
  <c r="A494" i="8"/>
  <c r="H493" i="8"/>
  <c r="G493" i="8"/>
  <c r="F493" i="8"/>
  <c r="E493" i="8"/>
  <c r="D493" i="8"/>
  <c r="C493" i="8"/>
  <c r="A493" i="8"/>
  <c r="H492" i="8"/>
  <c r="G492" i="8"/>
  <c r="F492" i="8"/>
  <c r="E492" i="8"/>
  <c r="D492" i="8"/>
  <c r="C492" i="8"/>
  <c r="A492" i="8"/>
  <c r="H491" i="8"/>
  <c r="G491" i="8"/>
  <c r="F491" i="8"/>
  <c r="E491" i="8"/>
  <c r="D491" i="8"/>
  <c r="C491" i="8"/>
  <c r="A491" i="8"/>
  <c r="H490" i="8"/>
  <c r="G490" i="8"/>
  <c r="F490" i="8"/>
  <c r="E490" i="8"/>
  <c r="D490" i="8"/>
  <c r="C490" i="8"/>
  <c r="A490" i="8"/>
  <c r="H489" i="8"/>
  <c r="G489" i="8"/>
  <c r="F489" i="8"/>
  <c r="E489" i="8"/>
  <c r="D489" i="8"/>
  <c r="C489" i="8"/>
  <c r="A489" i="8"/>
  <c r="H488" i="8"/>
  <c r="G488" i="8"/>
  <c r="F488" i="8"/>
  <c r="E488" i="8"/>
  <c r="D488" i="8"/>
  <c r="C488" i="8"/>
  <c r="A488" i="8"/>
  <c r="H487" i="8"/>
  <c r="G487" i="8"/>
  <c r="F487" i="8"/>
  <c r="E487" i="8"/>
  <c r="D487" i="8"/>
  <c r="C487" i="8"/>
  <c r="A487" i="8"/>
  <c r="H486" i="8"/>
  <c r="G486" i="8"/>
  <c r="F486" i="8"/>
  <c r="E486" i="8"/>
  <c r="D486" i="8"/>
  <c r="C486" i="8"/>
  <c r="A486" i="8"/>
  <c r="H485" i="8"/>
  <c r="G485" i="8"/>
  <c r="F485" i="8"/>
  <c r="E485" i="8"/>
  <c r="D485" i="8"/>
  <c r="C485" i="8"/>
  <c r="A485" i="8"/>
  <c r="H484" i="8"/>
  <c r="G484" i="8"/>
  <c r="F484" i="8"/>
  <c r="E484" i="8"/>
  <c r="D484" i="8"/>
  <c r="C484" i="8"/>
  <c r="A484" i="8"/>
  <c r="H483" i="8"/>
  <c r="G483" i="8"/>
  <c r="F483" i="8"/>
  <c r="E483" i="8"/>
  <c r="D483" i="8"/>
  <c r="C483" i="8"/>
  <c r="A483" i="8"/>
  <c r="H482" i="8"/>
  <c r="G482" i="8"/>
  <c r="F482" i="8"/>
  <c r="E482" i="8"/>
  <c r="D482" i="8"/>
  <c r="C482" i="8"/>
  <c r="A482" i="8"/>
  <c r="H481" i="8"/>
  <c r="G481" i="8"/>
  <c r="F481" i="8"/>
  <c r="E481" i="8"/>
  <c r="D481" i="8"/>
  <c r="C481" i="8"/>
  <c r="A481" i="8"/>
  <c r="H480" i="8"/>
  <c r="G480" i="8"/>
  <c r="F480" i="8"/>
  <c r="E480" i="8"/>
  <c r="D480" i="8"/>
  <c r="C480" i="8"/>
  <c r="A480" i="8"/>
  <c r="H479" i="8"/>
  <c r="G479" i="8"/>
  <c r="F479" i="8"/>
  <c r="E479" i="8"/>
  <c r="D479" i="8"/>
  <c r="C479" i="8"/>
  <c r="A479" i="8"/>
  <c r="H478" i="8"/>
  <c r="G478" i="8"/>
  <c r="F478" i="8"/>
  <c r="E478" i="8"/>
  <c r="D478" i="8"/>
  <c r="C478" i="8"/>
  <c r="A478" i="8"/>
  <c r="H477" i="8"/>
  <c r="G477" i="8"/>
  <c r="F477" i="8"/>
  <c r="E477" i="8"/>
  <c r="D477" i="8"/>
  <c r="C477" i="8"/>
  <c r="A477" i="8"/>
  <c r="H476" i="8"/>
  <c r="G476" i="8"/>
  <c r="F476" i="8"/>
  <c r="E476" i="8"/>
  <c r="D476" i="8"/>
  <c r="C476" i="8"/>
  <c r="A476" i="8"/>
  <c r="H475" i="8"/>
  <c r="G475" i="8"/>
  <c r="F475" i="8"/>
  <c r="E475" i="8"/>
  <c r="D475" i="8"/>
  <c r="C475" i="8"/>
  <c r="A475" i="8"/>
  <c r="H474" i="8"/>
  <c r="G474" i="8"/>
  <c r="F474" i="8"/>
  <c r="E474" i="8"/>
  <c r="D474" i="8"/>
  <c r="C474" i="8"/>
  <c r="A474" i="8"/>
  <c r="H473" i="8"/>
  <c r="G473" i="8"/>
  <c r="F473" i="8"/>
  <c r="E473" i="8"/>
  <c r="D473" i="8"/>
  <c r="C473" i="8"/>
  <c r="A473" i="8"/>
  <c r="H472" i="8"/>
  <c r="G472" i="8"/>
  <c r="F472" i="8"/>
  <c r="E472" i="8"/>
  <c r="D472" i="8"/>
  <c r="C472" i="8"/>
  <c r="A472" i="8"/>
  <c r="H471" i="8"/>
  <c r="G471" i="8"/>
  <c r="F471" i="8"/>
  <c r="E471" i="8"/>
  <c r="D471" i="8"/>
  <c r="C471" i="8"/>
  <c r="A471" i="8"/>
  <c r="H470" i="8"/>
  <c r="G470" i="8"/>
  <c r="F470" i="8"/>
  <c r="E470" i="8"/>
  <c r="D470" i="8"/>
  <c r="C470" i="8"/>
  <c r="A470" i="8"/>
  <c r="H469" i="8"/>
  <c r="G469" i="8"/>
  <c r="F469" i="8"/>
  <c r="E469" i="8"/>
  <c r="D469" i="8"/>
  <c r="C469" i="8"/>
  <c r="A469" i="8"/>
  <c r="H468" i="8"/>
  <c r="G468" i="8"/>
  <c r="F468" i="8"/>
  <c r="E468" i="8"/>
  <c r="D468" i="8"/>
  <c r="C468" i="8"/>
  <c r="A468" i="8"/>
  <c r="H467" i="8"/>
  <c r="G467" i="8"/>
  <c r="F467" i="8"/>
  <c r="E467" i="8"/>
  <c r="D467" i="8"/>
  <c r="C467" i="8"/>
  <c r="A467" i="8"/>
  <c r="H466" i="8"/>
  <c r="G466" i="8"/>
  <c r="F466" i="8"/>
  <c r="E466" i="8"/>
  <c r="D466" i="8"/>
  <c r="C466" i="8"/>
  <c r="A466" i="8"/>
  <c r="H465" i="8"/>
  <c r="G465" i="8"/>
  <c r="F465" i="8"/>
  <c r="E465" i="8"/>
  <c r="D465" i="8"/>
  <c r="C465" i="8"/>
  <c r="A465" i="8"/>
  <c r="H464" i="8"/>
  <c r="G464" i="8"/>
  <c r="F464" i="8"/>
  <c r="E464" i="8"/>
  <c r="D464" i="8"/>
  <c r="C464" i="8"/>
  <c r="A464" i="8"/>
  <c r="H463" i="8"/>
  <c r="G463" i="8"/>
  <c r="F463" i="8"/>
  <c r="E463" i="8"/>
  <c r="D463" i="8"/>
  <c r="C463" i="8"/>
  <c r="A463" i="8"/>
  <c r="H462" i="8"/>
  <c r="G462" i="8"/>
  <c r="F462" i="8"/>
  <c r="E462" i="8"/>
  <c r="D462" i="8"/>
  <c r="C462" i="8"/>
  <c r="A462" i="8"/>
  <c r="H461" i="8"/>
  <c r="G461" i="8"/>
  <c r="F461" i="8"/>
  <c r="E461" i="8"/>
  <c r="D461" i="8"/>
  <c r="C461" i="8"/>
  <c r="A461" i="8"/>
  <c r="H460" i="8"/>
  <c r="G460" i="8"/>
  <c r="F460" i="8"/>
  <c r="E460" i="8"/>
  <c r="D460" i="8"/>
  <c r="C460" i="8"/>
  <c r="A460" i="8"/>
  <c r="H459" i="8"/>
  <c r="G459" i="8"/>
  <c r="F459" i="8"/>
  <c r="E459" i="8"/>
  <c r="D459" i="8"/>
  <c r="C459" i="8"/>
  <c r="A459" i="8"/>
  <c r="H458" i="8"/>
  <c r="G458" i="8"/>
  <c r="F458" i="8"/>
  <c r="E458" i="8"/>
  <c r="D458" i="8"/>
  <c r="C458" i="8"/>
  <c r="A458" i="8"/>
  <c r="H457" i="8"/>
  <c r="G457" i="8"/>
  <c r="F457" i="8"/>
  <c r="E457" i="8"/>
  <c r="D457" i="8"/>
  <c r="C457" i="8"/>
  <c r="A457" i="8"/>
  <c r="H456" i="8"/>
  <c r="G456" i="8"/>
  <c r="F456" i="8"/>
  <c r="E456" i="8"/>
  <c r="D456" i="8"/>
  <c r="C456" i="8"/>
  <c r="A456" i="8"/>
  <c r="H455" i="8"/>
  <c r="G455" i="8"/>
  <c r="F455" i="8"/>
  <c r="E455" i="8"/>
  <c r="D455" i="8"/>
  <c r="C455" i="8"/>
  <c r="A455" i="8"/>
  <c r="H454" i="8"/>
  <c r="G454" i="8"/>
  <c r="F454" i="8"/>
  <c r="E454" i="8"/>
  <c r="D454" i="8"/>
  <c r="C454" i="8"/>
  <c r="A454" i="8"/>
  <c r="H453" i="8"/>
  <c r="G453" i="8"/>
  <c r="F453" i="8"/>
  <c r="E453" i="8"/>
  <c r="D453" i="8"/>
  <c r="C453" i="8"/>
  <c r="A453" i="8"/>
  <c r="H452" i="8"/>
  <c r="G452" i="8"/>
  <c r="F452" i="8"/>
  <c r="E452" i="8"/>
  <c r="D452" i="8"/>
  <c r="C452" i="8"/>
  <c r="A452" i="8"/>
  <c r="H451" i="8"/>
  <c r="G451" i="8"/>
  <c r="F451" i="8"/>
  <c r="E451" i="8"/>
  <c r="D451" i="8"/>
  <c r="C451" i="8"/>
  <c r="A451" i="8"/>
  <c r="H450" i="8"/>
  <c r="G450" i="8"/>
  <c r="F450" i="8"/>
  <c r="E450" i="8"/>
  <c r="D450" i="8"/>
  <c r="C450" i="8"/>
  <c r="A450" i="8"/>
  <c r="H449" i="8"/>
  <c r="G449" i="8"/>
  <c r="F449" i="8"/>
  <c r="E449" i="8"/>
  <c r="D449" i="8"/>
  <c r="C449" i="8"/>
  <c r="A449" i="8"/>
  <c r="H448" i="8"/>
  <c r="G448" i="8"/>
  <c r="F448" i="8"/>
  <c r="E448" i="8"/>
  <c r="D448" i="8"/>
  <c r="C448" i="8"/>
  <c r="A448" i="8"/>
  <c r="H447" i="8"/>
  <c r="G447" i="8"/>
  <c r="F447" i="8"/>
  <c r="E447" i="8"/>
  <c r="D447" i="8"/>
  <c r="C447" i="8"/>
  <c r="A447" i="8"/>
  <c r="H446" i="8"/>
  <c r="G446" i="8"/>
  <c r="F446" i="8"/>
  <c r="E446" i="8"/>
  <c r="D446" i="8"/>
  <c r="C446" i="8"/>
  <c r="A446" i="8"/>
  <c r="H445" i="8"/>
  <c r="G445" i="8"/>
  <c r="F445" i="8"/>
  <c r="E445" i="8"/>
  <c r="D445" i="8"/>
  <c r="C445" i="8"/>
  <c r="A445" i="8"/>
  <c r="H444" i="8"/>
  <c r="G444" i="8"/>
  <c r="F444" i="8"/>
  <c r="E444" i="8"/>
  <c r="D444" i="8"/>
  <c r="C444" i="8"/>
  <c r="A444" i="8"/>
  <c r="H443" i="8"/>
  <c r="G443" i="8"/>
  <c r="F443" i="8"/>
  <c r="E443" i="8"/>
  <c r="D443" i="8"/>
  <c r="C443" i="8"/>
  <c r="A443" i="8"/>
  <c r="H442" i="8"/>
  <c r="G442" i="8"/>
  <c r="F442" i="8"/>
  <c r="E442" i="8"/>
  <c r="D442" i="8"/>
  <c r="C442" i="8"/>
  <c r="A442" i="8"/>
  <c r="H441" i="8"/>
  <c r="G441" i="8"/>
  <c r="F441" i="8"/>
  <c r="E441" i="8"/>
  <c r="D441" i="8"/>
  <c r="C441" i="8"/>
  <c r="A441" i="8"/>
  <c r="H440" i="8"/>
  <c r="G440" i="8"/>
  <c r="F440" i="8"/>
  <c r="E440" i="8"/>
  <c r="D440" i="8"/>
  <c r="C440" i="8"/>
  <c r="A440" i="8"/>
  <c r="H439" i="8"/>
  <c r="G439" i="8"/>
  <c r="F439" i="8"/>
  <c r="E439" i="8"/>
  <c r="D439" i="8"/>
  <c r="C439" i="8"/>
  <c r="A439" i="8"/>
  <c r="H438" i="8"/>
  <c r="G438" i="8"/>
  <c r="F438" i="8"/>
  <c r="E438" i="8"/>
  <c r="D438" i="8"/>
  <c r="C438" i="8"/>
  <c r="A438" i="8"/>
  <c r="H437" i="8"/>
  <c r="G437" i="8"/>
  <c r="F437" i="8"/>
  <c r="E437" i="8"/>
  <c r="D437" i="8"/>
  <c r="C437" i="8"/>
  <c r="A437" i="8"/>
  <c r="H436" i="8"/>
  <c r="G436" i="8"/>
  <c r="F436" i="8"/>
  <c r="E436" i="8"/>
  <c r="D436" i="8"/>
  <c r="C436" i="8"/>
  <c r="A436" i="8"/>
  <c r="H435" i="8"/>
  <c r="G435" i="8"/>
  <c r="F435" i="8"/>
  <c r="E435" i="8"/>
  <c r="D435" i="8"/>
  <c r="C435" i="8"/>
  <c r="A435" i="8"/>
  <c r="H434" i="8"/>
  <c r="G434" i="8"/>
  <c r="F434" i="8"/>
  <c r="E434" i="8"/>
  <c r="D434" i="8"/>
  <c r="C434" i="8"/>
  <c r="A434" i="8"/>
  <c r="H433" i="8"/>
  <c r="G433" i="8"/>
  <c r="F433" i="8"/>
  <c r="E433" i="8"/>
  <c r="D433" i="8"/>
  <c r="C433" i="8"/>
  <c r="A433" i="8"/>
  <c r="H432" i="8"/>
  <c r="G432" i="8"/>
  <c r="F432" i="8"/>
  <c r="E432" i="8"/>
  <c r="D432" i="8"/>
  <c r="C432" i="8"/>
  <c r="A432" i="8"/>
  <c r="H431" i="8"/>
  <c r="G431" i="8"/>
  <c r="F431" i="8"/>
  <c r="E431" i="8"/>
  <c r="D431" i="8"/>
  <c r="C431" i="8"/>
  <c r="A431" i="8"/>
  <c r="H430" i="8"/>
  <c r="G430" i="8"/>
  <c r="F430" i="8"/>
  <c r="E430" i="8"/>
  <c r="D430" i="8"/>
  <c r="C430" i="8"/>
  <c r="A430" i="8"/>
  <c r="H429" i="8"/>
  <c r="G429" i="8"/>
  <c r="F429" i="8"/>
  <c r="E429" i="8"/>
  <c r="D429" i="8"/>
  <c r="C429" i="8"/>
  <c r="A429" i="8"/>
  <c r="H428" i="8"/>
  <c r="G428" i="8"/>
  <c r="F428" i="8"/>
  <c r="E428" i="8"/>
  <c r="D428" i="8"/>
  <c r="C428" i="8"/>
  <c r="A428" i="8"/>
  <c r="H427" i="8"/>
  <c r="G427" i="8"/>
  <c r="F427" i="8"/>
  <c r="E427" i="8"/>
  <c r="D427" i="8"/>
  <c r="C427" i="8"/>
  <c r="A427" i="8"/>
  <c r="H426" i="8"/>
  <c r="G426" i="8"/>
  <c r="F426" i="8"/>
  <c r="E426" i="8"/>
  <c r="D426" i="8"/>
  <c r="C426" i="8"/>
  <c r="A426" i="8"/>
  <c r="H425" i="8"/>
  <c r="G425" i="8"/>
  <c r="F425" i="8"/>
  <c r="E425" i="8"/>
  <c r="D425" i="8"/>
  <c r="C425" i="8"/>
  <c r="A425" i="8"/>
  <c r="H424" i="8"/>
  <c r="G424" i="8"/>
  <c r="F424" i="8"/>
  <c r="E424" i="8"/>
  <c r="D424" i="8"/>
  <c r="C424" i="8"/>
  <c r="A424" i="8"/>
  <c r="H423" i="8"/>
  <c r="G423" i="8"/>
  <c r="F423" i="8"/>
  <c r="E423" i="8"/>
  <c r="D423" i="8"/>
  <c r="C423" i="8"/>
  <c r="A423" i="8"/>
  <c r="H422" i="8"/>
  <c r="G422" i="8"/>
  <c r="F422" i="8"/>
  <c r="E422" i="8"/>
  <c r="D422" i="8"/>
  <c r="C422" i="8"/>
  <c r="A422" i="8"/>
  <c r="H421" i="8"/>
  <c r="G421" i="8"/>
  <c r="F421" i="8"/>
  <c r="E421" i="8"/>
  <c r="D421" i="8"/>
  <c r="C421" i="8"/>
  <c r="A421" i="8"/>
  <c r="H420" i="8"/>
  <c r="G420" i="8"/>
  <c r="F420" i="8"/>
  <c r="E420" i="8"/>
  <c r="D420" i="8"/>
  <c r="C420" i="8"/>
  <c r="A420" i="8"/>
  <c r="H419" i="8"/>
  <c r="G419" i="8"/>
  <c r="F419" i="8"/>
  <c r="E419" i="8"/>
  <c r="D419" i="8"/>
  <c r="C419" i="8"/>
  <c r="A419" i="8"/>
  <c r="H418" i="8"/>
  <c r="G418" i="8"/>
  <c r="F418" i="8"/>
  <c r="E418" i="8"/>
  <c r="D418" i="8"/>
  <c r="C418" i="8"/>
  <c r="A418" i="8"/>
  <c r="H417" i="8"/>
  <c r="G417" i="8"/>
  <c r="F417" i="8"/>
  <c r="E417" i="8"/>
  <c r="D417" i="8"/>
  <c r="C417" i="8"/>
  <c r="A417" i="8"/>
  <c r="H416" i="8"/>
  <c r="G416" i="8"/>
  <c r="F416" i="8"/>
  <c r="E416" i="8"/>
  <c r="D416" i="8"/>
  <c r="C416" i="8"/>
  <c r="A416" i="8"/>
  <c r="H415" i="8"/>
  <c r="G415" i="8"/>
  <c r="F415" i="8"/>
  <c r="E415" i="8"/>
  <c r="D415" i="8"/>
  <c r="C415" i="8"/>
  <c r="A415" i="8"/>
  <c r="H414" i="8"/>
  <c r="G414" i="8"/>
  <c r="F414" i="8"/>
  <c r="E414" i="8"/>
  <c r="D414" i="8"/>
  <c r="C414" i="8"/>
  <c r="A414" i="8"/>
  <c r="H413" i="8"/>
  <c r="G413" i="8"/>
  <c r="F413" i="8"/>
  <c r="E413" i="8"/>
  <c r="D413" i="8"/>
  <c r="C413" i="8"/>
  <c r="A413" i="8"/>
  <c r="H412" i="8"/>
  <c r="G412" i="8"/>
  <c r="F412" i="8"/>
  <c r="E412" i="8"/>
  <c r="D412" i="8"/>
  <c r="C412" i="8"/>
  <c r="A412" i="8"/>
  <c r="H411" i="8"/>
  <c r="G411" i="8"/>
  <c r="F411" i="8"/>
  <c r="E411" i="8"/>
  <c r="D411" i="8"/>
  <c r="C411" i="8"/>
  <c r="A411" i="8"/>
  <c r="H410" i="8"/>
  <c r="G410" i="8"/>
  <c r="F410" i="8"/>
  <c r="E410" i="8"/>
  <c r="D410" i="8"/>
  <c r="C410" i="8"/>
  <c r="B410" i="8"/>
  <c r="A410" i="8"/>
  <c r="H409" i="8"/>
  <c r="G409" i="8"/>
  <c r="F409" i="8"/>
  <c r="E409" i="8"/>
  <c r="D409" i="8"/>
  <c r="C409" i="8"/>
  <c r="B409" i="8"/>
  <c r="A409" i="8"/>
  <c r="H408" i="8"/>
  <c r="G408" i="8"/>
  <c r="F408" i="8"/>
  <c r="E408" i="8"/>
  <c r="D408" i="8"/>
  <c r="C408" i="8"/>
  <c r="B408" i="8"/>
  <c r="A408" i="8"/>
  <c r="H407" i="8"/>
  <c r="G407" i="8"/>
  <c r="F407" i="8"/>
  <c r="E407" i="8"/>
  <c r="D407" i="8"/>
  <c r="C407" i="8"/>
  <c r="B407" i="8"/>
  <c r="A407" i="8"/>
  <c r="H406" i="8"/>
  <c r="G406" i="8"/>
  <c r="F406" i="8"/>
  <c r="E406" i="8"/>
  <c r="D406" i="8"/>
  <c r="C406" i="8"/>
  <c r="B406" i="8"/>
  <c r="A406" i="8"/>
  <c r="H405" i="8"/>
  <c r="G405" i="8"/>
  <c r="F405" i="8"/>
  <c r="E405" i="8"/>
  <c r="D405" i="8"/>
  <c r="C405" i="8"/>
  <c r="B405" i="8"/>
  <c r="A405" i="8"/>
  <c r="H404" i="8"/>
  <c r="G404" i="8"/>
  <c r="F404" i="8"/>
  <c r="E404" i="8"/>
  <c r="D404" i="8"/>
  <c r="C404" i="8"/>
  <c r="B404" i="8"/>
  <c r="A404" i="8"/>
  <c r="H403" i="8"/>
  <c r="G403" i="8"/>
  <c r="F403" i="8"/>
  <c r="E403" i="8"/>
  <c r="D403" i="8"/>
  <c r="C403" i="8"/>
  <c r="B403" i="8"/>
  <c r="A403" i="8"/>
  <c r="H402" i="8"/>
  <c r="G402" i="8"/>
  <c r="F402" i="8"/>
  <c r="E402" i="8"/>
  <c r="D402" i="8"/>
  <c r="C402" i="8"/>
  <c r="B402" i="8"/>
  <c r="A402" i="8"/>
  <c r="H401" i="8"/>
  <c r="G401" i="8"/>
  <c r="F401" i="8"/>
  <c r="E401" i="8"/>
  <c r="D401" i="8"/>
  <c r="C401" i="8"/>
  <c r="B401" i="8"/>
  <c r="A401" i="8"/>
  <c r="H400" i="8"/>
  <c r="G400" i="8"/>
  <c r="F400" i="8"/>
  <c r="E400" i="8"/>
  <c r="D400" i="8"/>
  <c r="C400" i="8"/>
  <c r="B400" i="8"/>
  <c r="A400" i="8"/>
  <c r="H399" i="8"/>
  <c r="G399" i="8"/>
  <c r="F399" i="8"/>
  <c r="E399" i="8"/>
  <c r="D399" i="8"/>
  <c r="C399" i="8"/>
  <c r="B399" i="8"/>
  <c r="A399" i="8"/>
  <c r="H398" i="8"/>
  <c r="G398" i="8"/>
  <c r="F398" i="8"/>
  <c r="E398" i="8"/>
  <c r="D398" i="8"/>
  <c r="C398" i="8"/>
  <c r="B398" i="8"/>
  <c r="A398" i="8"/>
  <c r="H397" i="8"/>
  <c r="G397" i="8"/>
  <c r="F397" i="8"/>
  <c r="E397" i="8"/>
  <c r="D397" i="8"/>
  <c r="C397" i="8"/>
  <c r="B397" i="8"/>
  <c r="A397" i="8"/>
  <c r="H396" i="8"/>
  <c r="G396" i="8"/>
  <c r="F396" i="8"/>
  <c r="E396" i="8"/>
  <c r="D396" i="8"/>
  <c r="C396" i="8"/>
  <c r="B396" i="8"/>
  <c r="A396" i="8"/>
  <c r="H395" i="8"/>
  <c r="G395" i="8"/>
  <c r="F395" i="8"/>
  <c r="E395" i="8"/>
  <c r="D395" i="8"/>
  <c r="C395" i="8"/>
  <c r="B395" i="8"/>
  <c r="A395" i="8"/>
  <c r="H394" i="8"/>
  <c r="G394" i="8"/>
  <c r="F394" i="8"/>
  <c r="E394" i="8"/>
  <c r="D394" i="8"/>
  <c r="C394" i="8"/>
  <c r="B394" i="8"/>
  <c r="A394" i="8"/>
  <c r="H393" i="8"/>
  <c r="G393" i="8"/>
  <c r="F393" i="8"/>
  <c r="E393" i="8"/>
  <c r="D393" i="8"/>
  <c r="C393" i="8"/>
  <c r="B393" i="8"/>
  <c r="A393" i="8"/>
  <c r="H392" i="8"/>
  <c r="G392" i="8"/>
  <c r="F392" i="8"/>
  <c r="E392" i="8"/>
  <c r="D392" i="8"/>
  <c r="C392" i="8"/>
  <c r="B392" i="8"/>
  <c r="A392" i="8"/>
  <c r="H391" i="8"/>
  <c r="G391" i="8"/>
  <c r="F391" i="8"/>
  <c r="E391" i="8"/>
  <c r="D391" i="8"/>
  <c r="C391" i="8"/>
  <c r="B391" i="8"/>
  <c r="A391" i="8"/>
  <c r="H390" i="8"/>
  <c r="G390" i="8"/>
  <c r="F390" i="8"/>
  <c r="E390" i="8"/>
  <c r="D390" i="8"/>
  <c r="C390" i="8"/>
  <c r="B390" i="8"/>
  <c r="A390" i="8"/>
  <c r="H389" i="8"/>
  <c r="G389" i="8"/>
  <c r="F389" i="8"/>
  <c r="E389" i="8"/>
  <c r="D389" i="8"/>
  <c r="C389" i="8"/>
  <c r="B389" i="8"/>
  <c r="A389" i="8"/>
  <c r="H388" i="8"/>
  <c r="G388" i="8"/>
  <c r="F388" i="8"/>
  <c r="E388" i="8"/>
  <c r="D388" i="8"/>
  <c r="C388" i="8"/>
  <c r="B388" i="8"/>
  <c r="A388" i="8"/>
  <c r="H387" i="8"/>
  <c r="G387" i="8"/>
  <c r="F387" i="8"/>
  <c r="E387" i="8"/>
  <c r="D387" i="8"/>
  <c r="C387" i="8"/>
  <c r="B387" i="8"/>
  <c r="A387" i="8"/>
  <c r="H386" i="8"/>
  <c r="G386" i="8"/>
  <c r="F386" i="8"/>
  <c r="E386" i="8"/>
  <c r="D386" i="8"/>
  <c r="C386" i="8"/>
  <c r="B386" i="8"/>
  <c r="A386" i="8"/>
  <c r="H385" i="8"/>
  <c r="G385" i="8"/>
  <c r="F385" i="8"/>
  <c r="E385" i="8"/>
  <c r="D385" i="8"/>
  <c r="C385" i="8"/>
  <c r="B385" i="8"/>
  <c r="A385" i="8"/>
  <c r="H384" i="8"/>
  <c r="G384" i="8"/>
  <c r="F384" i="8"/>
  <c r="E384" i="8"/>
  <c r="D384" i="8"/>
  <c r="C384" i="8"/>
  <c r="B384" i="8"/>
  <c r="A384" i="8"/>
  <c r="H383" i="8"/>
  <c r="G383" i="8"/>
  <c r="F383" i="8"/>
  <c r="E383" i="8"/>
  <c r="D383" i="8"/>
  <c r="C383" i="8"/>
  <c r="B383" i="8"/>
  <c r="A383" i="8"/>
  <c r="H382" i="8"/>
  <c r="G382" i="8"/>
  <c r="F382" i="8"/>
  <c r="E382" i="8"/>
  <c r="D382" i="8"/>
  <c r="C382" i="8"/>
  <c r="B382" i="8"/>
  <c r="A382" i="8"/>
  <c r="H381" i="8"/>
  <c r="G381" i="8"/>
  <c r="F381" i="8"/>
  <c r="E381" i="8"/>
  <c r="D381" i="8"/>
  <c r="C381" i="8"/>
  <c r="B381" i="8"/>
  <c r="A381" i="8"/>
  <c r="H380" i="8"/>
  <c r="G380" i="8"/>
  <c r="F380" i="8"/>
  <c r="E380" i="8"/>
  <c r="D380" i="8"/>
  <c r="C380" i="8"/>
  <c r="B380" i="8"/>
  <c r="A380" i="8"/>
  <c r="H379" i="8"/>
  <c r="G379" i="8"/>
  <c r="F379" i="8"/>
  <c r="E379" i="8"/>
  <c r="D379" i="8"/>
  <c r="C379" i="8"/>
  <c r="B379" i="8"/>
  <c r="A379" i="8"/>
  <c r="H378" i="8"/>
  <c r="G378" i="8"/>
  <c r="F378" i="8"/>
  <c r="E378" i="8"/>
  <c r="D378" i="8"/>
  <c r="C378" i="8"/>
  <c r="B378" i="8"/>
  <c r="A378" i="8"/>
  <c r="H377" i="8"/>
  <c r="G377" i="8"/>
  <c r="F377" i="8"/>
  <c r="E377" i="8"/>
  <c r="D377" i="8"/>
  <c r="C377" i="8"/>
  <c r="B377" i="8"/>
  <c r="A377" i="8"/>
  <c r="H376" i="8"/>
  <c r="G376" i="8"/>
  <c r="F376" i="8"/>
  <c r="E376" i="8"/>
  <c r="D376" i="8"/>
  <c r="C376" i="8"/>
  <c r="B376" i="8"/>
  <c r="A376" i="8"/>
  <c r="H375" i="8"/>
  <c r="G375" i="8"/>
  <c r="F375" i="8"/>
  <c r="E375" i="8"/>
  <c r="D375" i="8"/>
  <c r="C375" i="8"/>
  <c r="B375" i="8"/>
  <c r="A375" i="8"/>
  <c r="H374" i="8"/>
  <c r="G374" i="8"/>
  <c r="F374" i="8"/>
  <c r="E374" i="8"/>
  <c r="D374" i="8"/>
  <c r="C374" i="8"/>
  <c r="B374" i="8"/>
  <c r="A374" i="8"/>
  <c r="H373" i="8"/>
  <c r="G373" i="8"/>
  <c r="F373" i="8"/>
  <c r="E373" i="8"/>
  <c r="D373" i="8"/>
  <c r="C373" i="8"/>
  <c r="B373" i="8"/>
  <c r="A373" i="8"/>
  <c r="H372" i="8"/>
  <c r="G372" i="8"/>
  <c r="F372" i="8"/>
  <c r="E372" i="8"/>
  <c r="D372" i="8"/>
  <c r="C372" i="8"/>
  <c r="B372" i="8"/>
  <c r="A372" i="8"/>
  <c r="H371" i="8"/>
  <c r="G371" i="8"/>
  <c r="F371" i="8"/>
  <c r="E371" i="8"/>
  <c r="D371" i="8"/>
  <c r="C371" i="8"/>
  <c r="B371" i="8"/>
  <c r="A371" i="8"/>
  <c r="H370" i="8"/>
  <c r="G370" i="8"/>
  <c r="F370" i="8"/>
  <c r="E370" i="8"/>
  <c r="D370" i="8"/>
  <c r="C370" i="8"/>
  <c r="B370" i="8"/>
  <c r="A370" i="8"/>
  <c r="H369" i="8"/>
  <c r="G369" i="8"/>
  <c r="F369" i="8"/>
  <c r="E369" i="8"/>
  <c r="D369" i="8"/>
  <c r="C369" i="8"/>
  <c r="B369" i="8"/>
  <c r="A369" i="8"/>
  <c r="H368" i="8"/>
  <c r="G368" i="8"/>
  <c r="F368" i="8"/>
  <c r="E368" i="8"/>
  <c r="D368" i="8"/>
  <c r="C368" i="8"/>
  <c r="B368" i="8"/>
  <c r="A368" i="8"/>
  <c r="H367" i="8"/>
  <c r="G367" i="8"/>
  <c r="F367" i="8"/>
  <c r="E367" i="8"/>
  <c r="D367" i="8"/>
  <c r="C367" i="8"/>
  <c r="B367" i="8"/>
  <c r="A367" i="8"/>
  <c r="H366" i="8"/>
  <c r="G366" i="8"/>
  <c r="F366" i="8"/>
  <c r="E366" i="8"/>
  <c r="D366" i="8"/>
  <c r="C366" i="8"/>
  <c r="B366" i="8"/>
  <c r="A366" i="8"/>
  <c r="H365" i="8"/>
  <c r="G365" i="8"/>
  <c r="F365" i="8"/>
  <c r="E365" i="8"/>
  <c r="D365" i="8"/>
  <c r="C365" i="8"/>
  <c r="B365" i="8"/>
  <c r="A365" i="8"/>
  <c r="H364" i="8"/>
  <c r="G364" i="8"/>
  <c r="F364" i="8"/>
  <c r="E364" i="8"/>
  <c r="D364" i="8"/>
  <c r="C364" i="8"/>
  <c r="B364" i="8"/>
  <c r="A364" i="8"/>
  <c r="H363" i="8"/>
  <c r="G363" i="8"/>
  <c r="F363" i="8"/>
  <c r="E363" i="8"/>
  <c r="D363" i="8"/>
  <c r="C363" i="8"/>
  <c r="B363" i="8"/>
  <c r="A363" i="8"/>
  <c r="H362" i="8"/>
  <c r="G362" i="8"/>
  <c r="F362" i="8"/>
  <c r="E362" i="8"/>
  <c r="D362" i="8"/>
  <c r="C362" i="8"/>
  <c r="B362" i="8"/>
  <c r="A362" i="8"/>
  <c r="H361" i="8"/>
  <c r="G361" i="8"/>
  <c r="F361" i="8"/>
  <c r="E361" i="8"/>
  <c r="D361" i="8"/>
  <c r="C361" i="8"/>
  <c r="B361" i="8"/>
  <c r="A361" i="8"/>
  <c r="H360" i="8"/>
  <c r="G360" i="8"/>
  <c r="F360" i="8"/>
  <c r="E360" i="8"/>
  <c r="D360" i="8"/>
  <c r="C360" i="8"/>
  <c r="B360" i="8"/>
  <c r="A360" i="8"/>
  <c r="H359" i="8"/>
  <c r="G359" i="8"/>
  <c r="F359" i="8"/>
  <c r="E359" i="8"/>
  <c r="D359" i="8"/>
  <c r="C359" i="8"/>
  <c r="B359" i="8"/>
  <c r="A359" i="8"/>
  <c r="H358" i="8"/>
  <c r="G358" i="8"/>
  <c r="F358" i="8"/>
  <c r="E358" i="8"/>
  <c r="D358" i="8"/>
  <c r="C358" i="8"/>
  <c r="B358" i="8"/>
  <c r="A358" i="8"/>
  <c r="H357" i="8"/>
  <c r="G357" i="8"/>
  <c r="F357" i="8"/>
  <c r="E357" i="8"/>
  <c r="D357" i="8"/>
  <c r="C357" i="8"/>
  <c r="B357" i="8"/>
  <c r="A357" i="8"/>
  <c r="H356" i="8"/>
  <c r="G356" i="8"/>
  <c r="F356" i="8"/>
  <c r="E356" i="8"/>
  <c r="D356" i="8"/>
  <c r="C356" i="8"/>
  <c r="B356" i="8"/>
  <c r="A356" i="8"/>
  <c r="H355" i="8"/>
  <c r="G355" i="8"/>
  <c r="F355" i="8"/>
  <c r="E355" i="8"/>
  <c r="D355" i="8"/>
  <c r="C355" i="8"/>
  <c r="B355" i="8"/>
  <c r="A355" i="8"/>
  <c r="H354" i="8"/>
  <c r="G354" i="8"/>
  <c r="F354" i="8"/>
  <c r="E354" i="8"/>
  <c r="D354" i="8"/>
  <c r="C354" i="8"/>
  <c r="B354" i="8"/>
  <c r="A354" i="8"/>
  <c r="H353" i="8"/>
  <c r="G353" i="8"/>
  <c r="F353" i="8"/>
  <c r="E353" i="8"/>
  <c r="D353" i="8"/>
  <c r="C353" i="8"/>
  <c r="B353" i="8"/>
  <c r="A353" i="8"/>
  <c r="H352" i="8"/>
  <c r="G352" i="8"/>
  <c r="F352" i="8"/>
  <c r="E352" i="8"/>
  <c r="D352" i="8"/>
  <c r="C352" i="8"/>
  <c r="B352" i="8"/>
  <c r="A352" i="8"/>
  <c r="H351" i="8"/>
  <c r="G351" i="8"/>
  <c r="F351" i="8"/>
  <c r="E351" i="8"/>
  <c r="D351" i="8"/>
  <c r="C351" i="8"/>
  <c r="B351" i="8"/>
  <c r="A351" i="8"/>
  <c r="H350" i="8"/>
  <c r="G350" i="8"/>
  <c r="F350" i="8"/>
  <c r="E350" i="8"/>
  <c r="D350" i="8"/>
  <c r="C350" i="8"/>
  <c r="B350" i="8"/>
  <c r="A350" i="8"/>
  <c r="H349" i="8"/>
  <c r="G349" i="8"/>
  <c r="F349" i="8"/>
  <c r="E349" i="8"/>
  <c r="D349" i="8"/>
  <c r="C349" i="8"/>
  <c r="B349" i="8"/>
  <c r="A349" i="8"/>
  <c r="H348" i="8"/>
  <c r="G348" i="8"/>
  <c r="F348" i="8"/>
  <c r="E348" i="8"/>
  <c r="D348" i="8"/>
  <c r="C348" i="8"/>
  <c r="B348" i="8"/>
  <c r="A348" i="8"/>
  <c r="H347" i="8"/>
  <c r="G347" i="8"/>
  <c r="F347" i="8"/>
  <c r="E347" i="8"/>
  <c r="D347" i="8"/>
  <c r="C347" i="8"/>
  <c r="B347" i="8"/>
  <c r="A347" i="8"/>
  <c r="H346" i="8"/>
  <c r="G346" i="8"/>
  <c r="F346" i="8"/>
  <c r="E346" i="8"/>
  <c r="D346" i="8"/>
  <c r="C346" i="8"/>
  <c r="B346" i="8"/>
  <c r="A346" i="8"/>
  <c r="H345" i="8"/>
  <c r="G345" i="8"/>
  <c r="F345" i="8"/>
  <c r="E345" i="8"/>
  <c r="D345" i="8"/>
  <c r="C345" i="8"/>
  <c r="B345" i="8"/>
  <c r="A345" i="8"/>
  <c r="H344" i="8"/>
  <c r="G344" i="8"/>
  <c r="F344" i="8"/>
  <c r="E344" i="8"/>
  <c r="D344" i="8"/>
  <c r="C344" i="8"/>
  <c r="B344" i="8"/>
  <c r="A344" i="8"/>
  <c r="H343" i="8"/>
  <c r="G343" i="8"/>
  <c r="F343" i="8"/>
  <c r="E343" i="8"/>
  <c r="D343" i="8"/>
  <c r="C343" i="8"/>
  <c r="B343" i="8"/>
  <c r="A343" i="8"/>
  <c r="H342" i="8"/>
  <c r="G342" i="8"/>
  <c r="F342" i="8"/>
  <c r="E342" i="8"/>
  <c r="D342" i="8"/>
  <c r="C342" i="8"/>
  <c r="B342" i="8"/>
  <c r="A342" i="8"/>
  <c r="H341" i="8"/>
  <c r="G341" i="8"/>
  <c r="F341" i="8"/>
  <c r="E341" i="8"/>
  <c r="D341" i="8"/>
  <c r="C341" i="8"/>
  <c r="B341" i="8"/>
  <c r="A341" i="8"/>
  <c r="H340" i="8"/>
  <c r="G340" i="8"/>
  <c r="F340" i="8"/>
  <c r="E340" i="8"/>
  <c r="D340" i="8"/>
  <c r="C340" i="8"/>
  <c r="B340" i="8"/>
  <c r="A340" i="8"/>
  <c r="H339" i="8"/>
  <c r="G339" i="8"/>
  <c r="F339" i="8"/>
  <c r="E339" i="8"/>
  <c r="D339" i="8"/>
  <c r="C339" i="8"/>
  <c r="B339" i="8"/>
  <c r="A339" i="8"/>
  <c r="H338" i="8"/>
  <c r="G338" i="8"/>
  <c r="F338" i="8"/>
  <c r="E338" i="8"/>
  <c r="D338" i="8"/>
  <c r="C338" i="8"/>
  <c r="B338" i="8"/>
  <c r="A338" i="8"/>
  <c r="H337" i="8"/>
  <c r="G337" i="8"/>
  <c r="F337" i="8"/>
  <c r="E337" i="8"/>
  <c r="D337" i="8"/>
  <c r="C337" i="8"/>
  <c r="B337" i="8"/>
  <c r="A337" i="8"/>
  <c r="H336" i="8"/>
  <c r="G336" i="8"/>
  <c r="F336" i="8"/>
  <c r="E336" i="8"/>
  <c r="D336" i="8"/>
  <c r="C336" i="8"/>
  <c r="B336" i="8"/>
  <c r="A336" i="8"/>
  <c r="H335" i="8"/>
  <c r="G335" i="8"/>
  <c r="F335" i="8"/>
  <c r="E335" i="8"/>
  <c r="D335" i="8"/>
  <c r="C335" i="8"/>
  <c r="B335" i="8"/>
  <c r="A335" i="8"/>
  <c r="H334" i="8"/>
  <c r="G334" i="8"/>
  <c r="F334" i="8"/>
  <c r="E334" i="8"/>
  <c r="D334" i="8"/>
  <c r="C334" i="8"/>
  <c r="B334" i="8"/>
  <c r="A334" i="8"/>
  <c r="H333" i="8"/>
  <c r="G333" i="8"/>
  <c r="F333" i="8"/>
  <c r="E333" i="8"/>
  <c r="D333" i="8"/>
  <c r="C333" i="8"/>
  <c r="B333" i="8"/>
  <c r="A333" i="8"/>
  <c r="H332" i="8"/>
  <c r="G332" i="8"/>
  <c r="F332" i="8"/>
  <c r="E332" i="8"/>
  <c r="D332" i="8"/>
  <c r="C332" i="8"/>
  <c r="B332" i="8"/>
  <c r="A332" i="8"/>
  <c r="H331" i="8"/>
  <c r="G331" i="8"/>
  <c r="F331" i="8"/>
  <c r="E331" i="8"/>
  <c r="D331" i="8"/>
  <c r="C331" i="8"/>
  <c r="B331" i="8"/>
  <c r="A331" i="8"/>
  <c r="H330" i="8"/>
  <c r="G330" i="8"/>
  <c r="F330" i="8"/>
  <c r="E330" i="8"/>
  <c r="D330" i="8"/>
  <c r="C330" i="8"/>
  <c r="B330" i="8"/>
  <c r="A330" i="8"/>
  <c r="H329" i="8"/>
  <c r="G329" i="8"/>
  <c r="F329" i="8"/>
  <c r="E329" i="8"/>
  <c r="D329" i="8"/>
  <c r="C329" i="8"/>
  <c r="B329" i="8"/>
  <c r="A329" i="8"/>
  <c r="H328" i="8"/>
  <c r="G328" i="8"/>
  <c r="F328" i="8"/>
  <c r="E328" i="8"/>
  <c r="D328" i="8"/>
  <c r="C328" i="8"/>
  <c r="B328" i="8"/>
  <c r="A328" i="8"/>
  <c r="H327" i="8"/>
  <c r="G327" i="8"/>
  <c r="F327" i="8"/>
  <c r="E327" i="8"/>
  <c r="D327" i="8"/>
  <c r="C327" i="8"/>
  <c r="B327" i="8"/>
  <c r="A327" i="8"/>
  <c r="H326" i="8"/>
  <c r="G326" i="8"/>
  <c r="F326" i="8"/>
  <c r="E326" i="8"/>
  <c r="D326" i="8"/>
  <c r="C326" i="8"/>
  <c r="B326" i="8"/>
  <c r="A326" i="8"/>
  <c r="H325" i="8"/>
  <c r="G325" i="8"/>
  <c r="F325" i="8"/>
  <c r="E325" i="8"/>
  <c r="D325" i="8"/>
  <c r="C325" i="8"/>
  <c r="B325" i="8"/>
  <c r="A325" i="8"/>
  <c r="H324" i="8"/>
  <c r="G324" i="8"/>
  <c r="F324" i="8"/>
  <c r="E324" i="8"/>
  <c r="D324" i="8"/>
  <c r="C324" i="8"/>
  <c r="B324" i="8"/>
  <c r="A324" i="8"/>
  <c r="H323" i="8"/>
  <c r="G323" i="8"/>
  <c r="F323" i="8"/>
  <c r="E323" i="8"/>
  <c r="D323" i="8"/>
  <c r="C323" i="8"/>
  <c r="B323" i="8"/>
  <c r="A323" i="8"/>
  <c r="H322" i="8"/>
  <c r="G322" i="8"/>
  <c r="F322" i="8"/>
  <c r="E322" i="8"/>
  <c r="D322" i="8"/>
  <c r="C322" i="8"/>
  <c r="B322" i="8"/>
  <c r="A322" i="8"/>
  <c r="H321" i="8"/>
  <c r="G321" i="8"/>
  <c r="F321" i="8"/>
  <c r="E321" i="8"/>
  <c r="D321" i="8"/>
  <c r="C321" i="8"/>
  <c r="B321" i="8"/>
  <c r="A321" i="8"/>
  <c r="H320" i="8"/>
  <c r="G320" i="8"/>
  <c r="F320" i="8"/>
  <c r="E320" i="8"/>
  <c r="D320" i="8"/>
  <c r="C320" i="8"/>
  <c r="B320" i="8"/>
  <c r="A320" i="8"/>
  <c r="H319" i="8"/>
  <c r="G319" i="8"/>
  <c r="F319" i="8"/>
  <c r="E319" i="8"/>
  <c r="D319" i="8"/>
  <c r="C319" i="8"/>
  <c r="B319" i="8"/>
  <c r="A319" i="8"/>
  <c r="H318" i="8"/>
  <c r="G318" i="8"/>
  <c r="F318" i="8"/>
  <c r="E318" i="8"/>
  <c r="D318" i="8"/>
  <c r="C318" i="8"/>
  <c r="B318" i="8"/>
  <c r="A318" i="8"/>
  <c r="H317" i="8"/>
  <c r="G317" i="8"/>
  <c r="F317" i="8"/>
  <c r="E317" i="8"/>
  <c r="D317" i="8"/>
  <c r="C317" i="8"/>
  <c r="B317" i="8"/>
  <c r="A317" i="8"/>
  <c r="H316" i="8"/>
  <c r="G316" i="8"/>
  <c r="F316" i="8"/>
  <c r="E316" i="8"/>
  <c r="D316" i="8"/>
  <c r="C316" i="8"/>
  <c r="B316" i="8"/>
  <c r="A316" i="8"/>
  <c r="H315" i="8"/>
  <c r="G315" i="8"/>
  <c r="F315" i="8"/>
  <c r="E315" i="8"/>
  <c r="D315" i="8"/>
  <c r="C315" i="8"/>
  <c r="B315" i="8"/>
  <c r="A315" i="8"/>
  <c r="H314" i="8"/>
  <c r="G314" i="8"/>
  <c r="F314" i="8"/>
  <c r="E314" i="8"/>
  <c r="D314" i="8"/>
  <c r="C314" i="8"/>
  <c r="B314" i="8"/>
  <c r="A314" i="8"/>
  <c r="H313" i="8"/>
  <c r="G313" i="8"/>
  <c r="F313" i="8"/>
  <c r="E313" i="8"/>
  <c r="D313" i="8"/>
  <c r="C313" i="8"/>
  <c r="B313" i="8"/>
  <c r="A313" i="8"/>
  <c r="H312" i="8"/>
  <c r="G312" i="8"/>
  <c r="F312" i="8"/>
  <c r="E312" i="8"/>
  <c r="D312" i="8"/>
  <c r="C312" i="8"/>
  <c r="B312" i="8"/>
  <c r="A312" i="8"/>
  <c r="H311" i="8"/>
  <c r="G311" i="8"/>
  <c r="F311" i="8"/>
  <c r="E311" i="8"/>
  <c r="D311" i="8"/>
  <c r="C311" i="8"/>
  <c r="B311" i="8"/>
  <c r="A311" i="8"/>
  <c r="H310" i="8"/>
  <c r="G310" i="8"/>
  <c r="F310" i="8"/>
  <c r="E310" i="8"/>
  <c r="D310" i="8"/>
  <c r="C310" i="8"/>
  <c r="B310" i="8"/>
  <c r="A310" i="8"/>
  <c r="H309" i="8"/>
  <c r="G309" i="8"/>
  <c r="F309" i="8"/>
  <c r="E309" i="8"/>
  <c r="D309" i="8"/>
  <c r="C309" i="8"/>
  <c r="B309" i="8"/>
  <c r="A309" i="8"/>
  <c r="H308" i="8"/>
  <c r="G308" i="8"/>
  <c r="F308" i="8"/>
  <c r="E308" i="8"/>
  <c r="D308" i="8"/>
  <c r="C308" i="8"/>
  <c r="B308" i="8"/>
  <c r="A308" i="8"/>
  <c r="H307" i="8"/>
  <c r="G307" i="8"/>
  <c r="F307" i="8"/>
  <c r="E307" i="8"/>
  <c r="D307" i="8"/>
  <c r="C307" i="8"/>
  <c r="B307" i="8"/>
  <c r="A307" i="8"/>
  <c r="H306" i="8"/>
  <c r="G306" i="8"/>
  <c r="F306" i="8"/>
  <c r="E306" i="8"/>
  <c r="D306" i="8"/>
  <c r="C306" i="8"/>
  <c r="B306" i="8"/>
  <c r="A306" i="8"/>
  <c r="H305" i="8"/>
  <c r="G305" i="8"/>
  <c r="F305" i="8"/>
  <c r="E305" i="8"/>
  <c r="D305" i="8"/>
  <c r="C305" i="8"/>
  <c r="B305" i="8"/>
  <c r="A305" i="8"/>
  <c r="H304" i="8"/>
  <c r="G304" i="8"/>
  <c r="F304" i="8"/>
  <c r="E304" i="8"/>
  <c r="D304" i="8"/>
  <c r="C304" i="8"/>
  <c r="B304" i="8"/>
  <c r="A304" i="8"/>
  <c r="H303" i="8"/>
  <c r="G303" i="8"/>
  <c r="F303" i="8"/>
  <c r="E303" i="8"/>
  <c r="D303" i="8"/>
  <c r="C303" i="8"/>
  <c r="B303" i="8"/>
  <c r="A303" i="8"/>
  <c r="H302" i="8"/>
  <c r="G302" i="8"/>
  <c r="F302" i="8"/>
  <c r="E302" i="8"/>
  <c r="D302" i="8"/>
  <c r="C302" i="8"/>
  <c r="B302" i="8"/>
  <c r="A302" i="8"/>
  <c r="H301" i="8"/>
  <c r="G301" i="8"/>
  <c r="F301" i="8"/>
  <c r="E301" i="8"/>
  <c r="D301" i="8"/>
  <c r="C301" i="8"/>
  <c r="B301" i="8"/>
  <c r="A301" i="8"/>
  <c r="H300" i="8"/>
  <c r="G300" i="8"/>
  <c r="F300" i="8"/>
  <c r="E300" i="8"/>
  <c r="D300" i="8"/>
  <c r="C300" i="8"/>
  <c r="B300" i="8"/>
  <c r="A300" i="8"/>
  <c r="H299" i="8"/>
  <c r="G299" i="8"/>
  <c r="F299" i="8"/>
  <c r="E299" i="8"/>
  <c r="D299" i="8"/>
  <c r="C299" i="8"/>
  <c r="B299" i="8"/>
  <c r="A299" i="8"/>
  <c r="H298" i="8"/>
  <c r="G298" i="8"/>
  <c r="F298" i="8"/>
  <c r="E298" i="8"/>
  <c r="D298" i="8"/>
  <c r="C298" i="8"/>
  <c r="B298" i="8"/>
  <c r="A298" i="8"/>
  <c r="H297" i="8"/>
  <c r="G297" i="8"/>
  <c r="F297" i="8"/>
  <c r="E297" i="8"/>
  <c r="D297" i="8"/>
  <c r="C297" i="8"/>
  <c r="B297" i="8"/>
  <c r="A297" i="8"/>
  <c r="H296" i="8"/>
  <c r="G296" i="8"/>
  <c r="F296" i="8"/>
  <c r="E296" i="8"/>
  <c r="D296" i="8"/>
  <c r="C296" i="8"/>
  <c r="B296" i="8"/>
  <c r="A296" i="8"/>
  <c r="H295" i="8"/>
  <c r="G295" i="8"/>
  <c r="F295" i="8"/>
  <c r="E295" i="8"/>
  <c r="D295" i="8"/>
  <c r="C295" i="8"/>
  <c r="B295" i="8"/>
  <c r="A295" i="8"/>
  <c r="H294" i="8"/>
  <c r="G294" i="8"/>
  <c r="F294" i="8"/>
  <c r="E294" i="8"/>
  <c r="D294" i="8"/>
  <c r="C294" i="8"/>
  <c r="B294" i="8"/>
  <c r="A294" i="8"/>
  <c r="H293" i="8"/>
  <c r="G293" i="8"/>
  <c r="F293" i="8"/>
  <c r="E293" i="8"/>
  <c r="D293" i="8"/>
  <c r="C293" i="8"/>
  <c r="B293" i="8"/>
  <c r="A293" i="8"/>
  <c r="H292" i="8"/>
  <c r="G292" i="8"/>
  <c r="F292" i="8"/>
  <c r="E292" i="8"/>
  <c r="D292" i="8"/>
  <c r="C292" i="8"/>
  <c r="B292" i="8"/>
  <c r="A292" i="8"/>
  <c r="H291" i="8"/>
  <c r="G291" i="8"/>
  <c r="F291" i="8"/>
  <c r="E291" i="8"/>
  <c r="D291" i="8"/>
  <c r="C291" i="8"/>
  <c r="B291" i="8"/>
  <c r="A291" i="8"/>
  <c r="H290" i="8"/>
  <c r="G290" i="8"/>
  <c r="F290" i="8"/>
  <c r="E290" i="8"/>
  <c r="D290" i="8"/>
  <c r="C290" i="8"/>
  <c r="B290" i="8"/>
  <c r="A290" i="8"/>
  <c r="H289" i="8"/>
  <c r="G289" i="8"/>
  <c r="F289" i="8"/>
  <c r="E289" i="8"/>
  <c r="D289" i="8"/>
  <c r="C289" i="8"/>
  <c r="B289" i="8"/>
  <c r="A289" i="8"/>
  <c r="H288" i="8"/>
  <c r="G288" i="8"/>
  <c r="F288" i="8"/>
  <c r="E288" i="8"/>
  <c r="D288" i="8"/>
  <c r="C288" i="8"/>
  <c r="B288" i="8"/>
  <c r="A288" i="8"/>
  <c r="H287" i="8"/>
  <c r="G287" i="8"/>
  <c r="F287" i="8"/>
  <c r="E287" i="8"/>
  <c r="D287" i="8"/>
  <c r="C287" i="8"/>
  <c r="B287" i="8"/>
  <c r="A287" i="8"/>
  <c r="H286" i="8"/>
  <c r="G286" i="8"/>
  <c r="F286" i="8"/>
  <c r="E286" i="8"/>
  <c r="D286" i="8"/>
  <c r="C286" i="8"/>
  <c r="B286" i="8"/>
  <c r="A286" i="8"/>
  <c r="H285" i="8"/>
  <c r="G285" i="8"/>
  <c r="F285" i="8"/>
  <c r="E285" i="8"/>
  <c r="D285" i="8"/>
  <c r="C285" i="8"/>
  <c r="B285" i="8"/>
  <c r="A285" i="8"/>
  <c r="H284" i="8"/>
  <c r="G284" i="8"/>
  <c r="F284" i="8"/>
  <c r="E284" i="8"/>
  <c r="D284" i="8"/>
  <c r="C284" i="8"/>
  <c r="B284" i="8"/>
  <c r="A284" i="8"/>
  <c r="H283" i="8"/>
  <c r="G283" i="8"/>
  <c r="F283" i="8"/>
  <c r="E283" i="8"/>
  <c r="D283" i="8"/>
  <c r="C283" i="8"/>
  <c r="B283" i="8"/>
  <c r="A283" i="8"/>
  <c r="H282" i="8"/>
  <c r="G282" i="8"/>
  <c r="F282" i="8"/>
  <c r="E282" i="8"/>
  <c r="D282" i="8"/>
  <c r="C282" i="8"/>
  <c r="B282" i="8"/>
  <c r="A282" i="8"/>
  <c r="H281" i="8"/>
  <c r="G281" i="8"/>
  <c r="F281" i="8"/>
  <c r="E281" i="8"/>
  <c r="D281" i="8"/>
  <c r="C281" i="8"/>
  <c r="B281" i="8"/>
  <c r="A281" i="8"/>
  <c r="H280" i="8"/>
  <c r="G280" i="8"/>
  <c r="F280" i="8"/>
  <c r="E280" i="8"/>
  <c r="D280" i="8"/>
  <c r="C280" i="8"/>
  <c r="B280" i="8"/>
  <c r="A280" i="8"/>
  <c r="H279" i="8"/>
  <c r="G279" i="8"/>
  <c r="F279" i="8"/>
  <c r="E279" i="8"/>
  <c r="D279" i="8"/>
  <c r="C279" i="8"/>
  <c r="B279" i="8"/>
  <c r="A279" i="8"/>
  <c r="H278" i="8"/>
  <c r="G278" i="8"/>
  <c r="F278" i="8"/>
  <c r="E278" i="8"/>
  <c r="D278" i="8"/>
  <c r="C278" i="8"/>
  <c r="B278" i="8"/>
  <c r="A278" i="8"/>
  <c r="H277" i="8"/>
  <c r="G277" i="8"/>
  <c r="F277" i="8"/>
  <c r="E277" i="8"/>
  <c r="D277" i="8"/>
  <c r="C277" i="8"/>
  <c r="B277" i="8"/>
  <c r="A277" i="8"/>
  <c r="H276" i="8"/>
  <c r="G276" i="8"/>
  <c r="F276" i="8"/>
  <c r="E276" i="8"/>
  <c r="D276" i="8"/>
  <c r="C276" i="8"/>
  <c r="B276" i="8"/>
  <c r="A276" i="8"/>
  <c r="H275" i="8"/>
  <c r="G275" i="8"/>
  <c r="F275" i="8"/>
  <c r="E275" i="8"/>
  <c r="D275" i="8"/>
  <c r="C275" i="8"/>
  <c r="B275" i="8"/>
  <c r="A275" i="8"/>
  <c r="H274" i="8"/>
  <c r="G274" i="8"/>
  <c r="F274" i="8"/>
  <c r="E274" i="8"/>
  <c r="D274" i="8"/>
  <c r="C274" i="8"/>
  <c r="B274" i="8"/>
  <c r="A274" i="8"/>
  <c r="H273" i="8"/>
  <c r="G273" i="8"/>
  <c r="F273" i="8"/>
  <c r="E273" i="8"/>
  <c r="D273" i="8"/>
  <c r="C273" i="8"/>
  <c r="B273" i="8"/>
  <c r="A273" i="8"/>
  <c r="H272" i="8"/>
  <c r="G272" i="8"/>
  <c r="F272" i="8"/>
  <c r="E272" i="8"/>
  <c r="D272" i="8"/>
  <c r="C272" i="8"/>
  <c r="B272" i="8"/>
  <c r="A272" i="8"/>
  <c r="H271" i="8"/>
  <c r="G271" i="8"/>
  <c r="F271" i="8"/>
  <c r="E271" i="8"/>
  <c r="D271" i="8"/>
  <c r="C271" i="8"/>
  <c r="B271" i="8"/>
  <c r="A271" i="8"/>
  <c r="H270" i="8"/>
  <c r="G270" i="8"/>
  <c r="F270" i="8"/>
  <c r="E270" i="8"/>
  <c r="D270" i="8"/>
  <c r="C270" i="8"/>
  <c r="B270" i="8"/>
  <c r="A270" i="8"/>
  <c r="H269" i="8"/>
  <c r="G269" i="8"/>
  <c r="F269" i="8"/>
  <c r="E269" i="8"/>
  <c r="D269" i="8"/>
  <c r="C269" i="8"/>
  <c r="B269" i="8"/>
  <c r="A269" i="8"/>
  <c r="H268" i="8"/>
  <c r="G268" i="8"/>
  <c r="F268" i="8"/>
  <c r="E268" i="8"/>
  <c r="D268" i="8"/>
  <c r="C268" i="8"/>
  <c r="B268" i="8"/>
  <c r="A268" i="8"/>
  <c r="H267" i="8"/>
  <c r="G267" i="8"/>
  <c r="F267" i="8"/>
  <c r="E267" i="8"/>
  <c r="D267" i="8"/>
  <c r="C267" i="8"/>
  <c r="B267" i="8"/>
  <c r="A267" i="8"/>
  <c r="H266" i="8"/>
  <c r="G266" i="8"/>
  <c r="F266" i="8"/>
  <c r="E266" i="8"/>
  <c r="D266" i="8"/>
  <c r="C266" i="8"/>
  <c r="B266" i="8"/>
  <c r="A266" i="8"/>
  <c r="H265" i="8"/>
  <c r="G265" i="8"/>
  <c r="F265" i="8"/>
  <c r="E265" i="8"/>
  <c r="D265" i="8"/>
  <c r="C265" i="8"/>
  <c r="B265" i="8"/>
  <c r="A265" i="8"/>
  <c r="H264" i="8"/>
  <c r="G264" i="8"/>
  <c r="F264" i="8"/>
  <c r="E264" i="8"/>
  <c r="D264" i="8"/>
  <c r="C264" i="8"/>
  <c r="B264" i="8"/>
  <c r="A264" i="8"/>
  <c r="H263" i="8"/>
  <c r="G263" i="8"/>
  <c r="F263" i="8"/>
  <c r="E263" i="8"/>
  <c r="D263" i="8"/>
  <c r="C263" i="8"/>
  <c r="B263" i="8"/>
  <c r="A263" i="8"/>
  <c r="H262" i="8"/>
  <c r="G262" i="8"/>
  <c r="F262" i="8"/>
  <c r="E262" i="8"/>
  <c r="D262" i="8"/>
  <c r="C262" i="8"/>
  <c r="B262" i="8"/>
  <c r="A262" i="8"/>
  <c r="H261" i="8"/>
  <c r="G261" i="8"/>
  <c r="F261" i="8"/>
  <c r="E261" i="8"/>
  <c r="D261" i="8"/>
  <c r="C261" i="8"/>
  <c r="B261" i="8"/>
  <c r="A261" i="8"/>
  <c r="H260" i="8"/>
  <c r="G260" i="8"/>
  <c r="F260" i="8"/>
  <c r="E260" i="8"/>
  <c r="D260" i="8"/>
  <c r="C260" i="8"/>
  <c r="B260" i="8"/>
  <c r="A260" i="8"/>
  <c r="H259" i="8"/>
  <c r="G259" i="8"/>
  <c r="F259" i="8"/>
  <c r="E259" i="8"/>
  <c r="D259" i="8"/>
  <c r="C259" i="8"/>
  <c r="B259" i="8"/>
  <c r="A259" i="8"/>
  <c r="H258" i="8"/>
  <c r="G258" i="8"/>
  <c r="F258" i="8"/>
  <c r="E258" i="8"/>
  <c r="D258" i="8"/>
  <c r="C258" i="8"/>
  <c r="B258" i="8"/>
  <c r="A258" i="8"/>
  <c r="H257" i="8"/>
  <c r="G257" i="8"/>
  <c r="F257" i="8"/>
  <c r="E257" i="8"/>
  <c r="D257" i="8"/>
  <c r="C257" i="8"/>
  <c r="B257" i="8"/>
  <c r="A257" i="8"/>
  <c r="H256" i="8"/>
  <c r="G256" i="8"/>
  <c r="F256" i="8"/>
  <c r="E256" i="8"/>
  <c r="D256" i="8"/>
  <c r="C256" i="8"/>
  <c r="B256" i="8"/>
  <c r="A256" i="8"/>
  <c r="H255" i="8"/>
  <c r="G255" i="8"/>
  <c r="F255" i="8"/>
  <c r="E255" i="8"/>
  <c r="D255" i="8"/>
  <c r="C255" i="8"/>
  <c r="B255" i="8"/>
  <c r="A255" i="8"/>
  <c r="H254" i="8"/>
  <c r="G254" i="8"/>
  <c r="F254" i="8"/>
  <c r="E254" i="8"/>
  <c r="D254" i="8"/>
  <c r="C254" i="8"/>
  <c r="B254" i="8"/>
  <c r="A254" i="8"/>
  <c r="H253" i="8"/>
  <c r="G253" i="8"/>
  <c r="F253" i="8"/>
  <c r="E253" i="8"/>
  <c r="D253" i="8"/>
  <c r="C253" i="8"/>
  <c r="B253" i="8"/>
  <c r="A253" i="8"/>
  <c r="H252" i="8"/>
  <c r="G252" i="8"/>
  <c r="F252" i="8"/>
  <c r="E252" i="8"/>
  <c r="D252" i="8"/>
  <c r="C252" i="8"/>
  <c r="B252" i="8"/>
  <c r="A252" i="8"/>
  <c r="H251" i="8"/>
  <c r="G251" i="8"/>
  <c r="F251" i="8"/>
  <c r="E251" i="8"/>
  <c r="D251" i="8"/>
  <c r="C251" i="8"/>
  <c r="B251" i="8"/>
  <c r="A251" i="8"/>
  <c r="H250" i="8"/>
  <c r="G250" i="8"/>
  <c r="F250" i="8"/>
  <c r="E250" i="8"/>
  <c r="D250" i="8"/>
  <c r="C250" i="8"/>
  <c r="B250" i="8"/>
  <c r="A250" i="8"/>
  <c r="H249" i="8"/>
  <c r="G249" i="8"/>
  <c r="F249" i="8"/>
  <c r="E249" i="8"/>
  <c r="D249" i="8"/>
  <c r="C249" i="8"/>
  <c r="B249" i="8"/>
  <c r="A249" i="8"/>
  <c r="H248" i="8"/>
  <c r="G248" i="8"/>
  <c r="F248" i="8"/>
  <c r="E248" i="8"/>
  <c r="D248" i="8"/>
  <c r="C248" i="8"/>
  <c r="B248" i="8"/>
  <c r="A248" i="8"/>
  <c r="H247" i="8"/>
  <c r="G247" i="8"/>
  <c r="F247" i="8"/>
  <c r="E247" i="8"/>
  <c r="D247" i="8"/>
  <c r="C247" i="8"/>
  <c r="B247" i="8"/>
  <c r="A247" i="8"/>
  <c r="H246" i="8"/>
  <c r="G246" i="8"/>
  <c r="F246" i="8"/>
  <c r="E246" i="8"/>
  <c r="D246" i="8"/>
  <c r="C246" i="8"/>
  <c r="B246" i="8"/>
  <c r="A246" i="8"/>
  <c r="H245" i="8"/>
  <c r="G245" i="8"/>
  <c r="F245" i="8"/>
  <c r="E245" i="8"/>
  <c r="D245" i="8"/>
  <c r="C245" i="8"/>
  <c r="B245" i="8"/>
  <c r="A245" i="8"/>
  <c r="H244" i="8"/>
  <c r="G244" i="8"/>
  <c r="F244" i="8"/>
  <c r="E244" i="8"/>
  <c r="D244" i="8"/>
  <c r="C244" i="8"/>
  <c r="B244" i="8"/>
  <c r="A244" i="8"/>
  <c r="H243" i="8"/>
  <c r="G243" i="8"/>
  <c r="F243" i="8"/>
  <c r="E243" i="8"/>
  <c r="D243" i="8"/>
  <c r="C243" i="8"/>
  <c r="B243" i="8"/>
  <c r="A243" i="8"/>
  <c r="H242" i="8"/>
  <c r="G242" i="8"/>
  <c r="F242" i="8"/>
  <c r="E242" i="8"/>
  <c r="D242" i="8"/>
  <c r="C242" i="8"/>
  <c r="B242" i="8"/>
  <c r="A242" i="8"/>
  <c r="H241" i="8"/>
  <c r="G241" i="8"/>
  <c r="F241" i="8"/>
  <c r="E241" i="8"/>
  <c r="D241" i="8"/>
  <c r="C241" i="8"/>
  <c r="B241" i="8"/>
  <c r="A241" i="8"/>
  <c r="H240" i="8"/>
  <c r="G240" i="8"/>
  <c r="F240" i="8"/>
  <c r="E240" i="8"/>
  <c r="D240" i="8"/>
  <c r="C240" i="8"/>
  <c r="B240" i="8"/>
  <c r="A240" i="8"/>
  <c r="H239" i="8"/>
  <c r="G239" i="8"/>
  <c r="F239" i="8"/>
  <c r="E239" i="8"/>
  <c r="D239" i="8"/>
  <c r="C239" i="8"/>
  <c r="B239" i="8"/>
  <c r="A239" i="8"/>
  <c r="H238" i="8"/>
  <c r="G238" i="8"/>
  <c r="F238" i="8"/>
  <c r="E238" i="8"/>
  <c r="D238" i="8"/>
  <c r="C238" i="8"/>
  <c r="B238" i="8"/>
  <c r="A238" i="8"/>
  <c r="H237" i="8"/>
  <c r="G237" i="8"/>
  <c r="F237" i="8"/>
  <c r="E237" i="8"/>
  <c r="D237" i="8"/>
  <c r="C237" i="8"/>
  <c r="B237" i="8"/>
  <c r="A237" i="8"/>
  <c r="H236" i="8"/>
  <c r="G236" i="8"/>
  <c r="F236" i="8"/>
  <c r="E236" i="8"/>
  <c r="D236" i="8"/>
  <c r="C236" i="8"/>
  <c r="B236" i="8"/>
  <c r="A236" i="8"/>
  <c r="H235" i="8"/>
  <c r="G235" i="8"/>
  <c r="F235" i="8"/>
  <c r="E235" i="8"/>
  <c r="D235" i="8"/>
  <c r="C235" i="8"/>
  <c r="B235" i="8"/>
  <c r="A235" i="8"/>
  <c r="H234" i="8"/>
  <c r="G234" i="8"/>
  <c r="F234" i="8"/>
  <c r="E234" i="8"/>
  <c r="D234" i="8"/>
  <c r="C234" i="8"/>
  <c r="B234" i="8"/>
  <c r="A234" i="8"/>
  <c r="H233" i="8"/>
  <c r="G233" i="8"/>
  <c r="F233" i="8"/>
  <c r="E233" i="8"/>
  <c r="D233" i="8"/>
  <c r="C233" i="8"/>
  <c r="B233" i="8"/>
  <c r="A233" i="8"/>
  <c r="H232" i="8"/>
  <c r="G232" i="8"/>
  <c r="F232" i="8"/>
  <c r="E232" i="8"/>
  <c r="D232" i="8"/>
  <c r="C232" i="8"/>
  <c r="B232" i="8"/>
  <c r="A232" i="8"/>
  <c r="H231" i="8"/>
  <c r="G231" i="8"/>
  <c r="F231" i="8"/>
  <c r="E231" i="8"/>
  <c r="D231" i="8"/>
  <c r="C231" i="8"/>
  <c r="B231" i="8"/>
  <c r="A231" i="8"/>
  <c r="H230" i="8"/>
  <c r="G230" i="8"/>
  <c r="F230" i="8"/>
  <c r="E230" i="8"/>
  <c r="D230" i="8"/>
  <c r="C230" i="8"/>
  <c r="B230" i="8"/>
  <c r="A230" i="8"/>
  <c r="H229" i="8"/>
  <c r="G229" i="8"/>
  <c r="F229" i="8"/>
  <c r="E229" i="8"/>
  <c r="D229" i="8"/>
  <c r="C229" i="8"/>
  <c r="B229" i="8"/>
  <c r="A229" i="8"/>
  <c r="H228" i="8"/>
  <c r="G228" i="8"/>
  <c r="F228" i="8"/>
  <c r="E228" i="8"/>
  <c r="D228" i="8"/>
  <c r="C228" i="8"/>
  <c r="B228" i="8"/>
  <c r="A228" i="8"/>
  <c r="H227" i="8"/>
  <c r="G227" i="8"/>
  <c r="F227" i="8"/>
  <c r="E227" i="8"/>
  <c r="D227" i="8"/>
  <c r="C227" i="8"/>
  <c r="B227" i="8"/>
  <c r="A227" i="8"/>
  <c r="H226" i="8"/>
  <c r="G226" i="8"/>
  <c r="F226" i="8"/>
  <c r="E226" i="8"/>
  <c r="D226" i="8"/>
  <c r="C226" i="8"/>
  <c r="B226" i="8"/>
  <c r="A226" i="8"/>
  <c r="H225" i="8"/>
  <c r="G225" i="8"/>
  <c r="F225" i="8"/>
  <c r="E225" i="8"/>
  <c r="D225" i="8"/>
  <c r="C225" i="8"/>
  <c r="B225" i="8"/>
  <c r="A225" i="8"/>
  <c r="H224" i="8"/>
  <c r="G224" i="8"/>
  <c r="F224" i="8"/>
  <c r="E224" i="8"/>
  <c r="D224" i="8"/>
  <c r="C224" i="8"/>
  <c r="B224" i="8"/>
  <c r="A224" i="8"/>
  <c r="H223" i="8"/>
  <c r="G223" i="8"/>
  <c r="F223" i="8"/>
  <c r="E223" i="8"/>
  <c r="D223" i="8"/>
  <c r="C223" i="8"/>
  <c r="B223" i="8"/>
  <c r="A223" i="8"/>
  <c r="H222" i="8"/>
  <c r="G222" i="8"/>
  <c r="F222" i="8"/>
  <c r="E222" i="8"/>
  <c r="D222" i="8"/>
  <c r="C222" i="8"/>
  <c r="B222" i="8"/>
  <c r="A222" i="8"/>
  <c r="H221" i="8"/>
  <c r="G221" i="8"/>
  <c r="F221" i="8"/>
  <c r="E221" i="8"/>
  <c r="D221" i="8"/>
  <c r="C221" i="8"/>
  <c r="B221" i="8"/>
  <c r="A221" i="8"/>
  <c r="H220" i="8"/>
  <c r="G220" i="8"/>
  <c r="F220" i="8"/>
  <c r="E220" i="8"/>
  <c r="D220" i="8"/>
  <c r="C220" i="8"/>
  <c r="B220" i="8"/>
  <c r="A220" i="8"/>
  <c r="H219" i="8"/>
  <c r="G219" i="8"/>
  <c r="F219" i="8"/>
  <c r="E219" i="8"/>
  <c r="D219" i="8"/>
  <c r="C219" i="8"/>
  <c r="B219" i="8"/>
  <c r="A219" i="8"/>
  <c r="H218" i="8"/>
  <c r="G218" i="8"/>
  <c r="F218" i="8"/>
  <c r="E218" i="8"/>
  <c r="D218" i="8"/>
  <c r="C218" i="8"/>
  <c r="B218" i="8"/>
  <c r="A218" i="8"/>
  <c r="H217" i="8"/>
  <c r="G217" i="8"/>
  <c r="F217" i="8"/>
  <c r="E217" i="8"/>
  <c r="D217" i="8"/>
  <c r="C217" i="8"/>
  <c r="B217" i="8"/>
  <c r="A217" i="8"/>
  <c r="H216" i="8"/>
  <c r="G216" i="8"/>
  <c r="F216" i="8"/>
  <c r="E216" i="8"/>
  <c r="D216" i="8"/>
  <c r="C216" i="8"/>
  <c r="B216" i="8"/>
  <c r="A216" i="8"/>
  <c r="H215" i="8"/>
  <c r="G215" i="8"/>
  <c r="F215" i="8"/>
  <c r="E215" i="8"/>
  <c r="D215" i="8"/>
  <c r="C215" i="8"/>
  <c r="B215" i="8"/>
  <c r="A215" i="8"/>
  <c r="H214" i="8"/>
  <c r="G214" i="8"/>
  <c r="F214" i="8"/>
  <c r="E214" i="8"/>
  <c r="D214" i="8"/>
  <c r="C214" i="8"/>
  <c r="B214" i="8"/>
  <c r="A214" i="8"/>
  <c r="H213" i="8"/>
  <c r="G213" i="8"/>
  <c r="F213" i="8"/>
  <c r="E213" i="8"/>
  <c r="D213" i="8"/>
  <c r="C213" i="8"/>
  <c r="B213" i="8"/>
  <c r="A213" i="8"/>
  <c r="H212" i="8"/>
  <c r="G212" i="8"/>
  <c r="F212" i="8"/>
  <c r="E212" i="8"/>
  <c r="D212" i="8"/>
  <c r="C212" i="8"/>
  <c r="B212" i="8"/>
  <c r="A212" i="8"/>
  <c r="H211" i="8"/>
  <c r="G211" i="8"/>
  <c r="F211" i="8"/>
  <c r="E211" i="8"/>
  <c r="D211" i="8"/>
  <c r="C211" i="8"/>
  <c r="B211" i="8"/>
  <c r="A211" i="8"/>
  <c r="H210" i="8"/>
  <c r="G210" i="8"/>
  <c r="F210" i="8"/>
  <c r="E210" i="8"/>
  <c r="D210" i="8"/>
  <c r="C210" i="8"/>
  <c r="B210" i="8"/>
  <c r="A210" i="8"/>
  <c r="H209" i="8"/>
  <c r="G209" i="8"/>
  <c r="F209" i="8"/>
  <c r="E209" i="8"/>
  <c r="D209" i="8"/>
  <c r="C209" i="8"/>
  <c r="B209" i="8"/>
  <c r="A209" i="8"/>
  <c r="H208" i="8"/>
  <c r="G208" i="8"/>
  <c r="F208" i="8"/>
  <c r="E208" i="8"/>
  <c r="D208" i="8"/>
  <c r="C208" i="8"/>
  <c r="B208" i="8"/>
  <c r="A208" i="8"/>
  <c r="H207" i="8"/>
  <c r="G207" i="8"/>
  <c r="F207" i="8"/>
  <c r="E207" i="8"/>
  <c r="D207" i="8"/>
  <c r="C207" i="8"/>
  <c r="B207" i="8"/>
  <c r="A207" i="8"/>
  <c r="H206" i="8"/>
  <c r="G206" i="8"/>
  <c r="F206" i="8"/>
  <c r="E206" i="8"/>
  <c r="D206" i="8"/>
  <c r="C206" i="8"/>
  <c r="B206" i="8"/>
  <c r="A206" i="8"/>
  <c r="H205" i="8"/>
  <c r="G205" i="8"/>
  <c r="F205" i="8"/>
  <c r="E205" i="8"/>
  <c r="D205" i="8"/>
  <c r="C205" i="8"/>
  <c r="B205" i="8"/>
  <c r="A205" i="8"/>
  <c r="H204" i="8"/>
  <c r="G204" i="8"/>
  <c r="F204" i="8"/>
  <c r="E204" i="8"/>
  <c r="D204" i="8"/>
  <c r="C204" i="8"/>
  <c r="B204" i="8"/>
  <c r="A204" i="8"/>
  <c r="H203" i="8"/>
  <c r="G203" i="8"/>
  <c r="F203" i="8"/>
  <c r="E203" i="8"/>
  <c r="D203" i="8"/>
  <c r="C203" i="8"/>
  <c r="B203" i="8"/>
  <c r="A203" i="8"/>
  <c r="H202" i="8"/>
  <c r="G202" i="8"/>
  <c r="F202" i="8"/>
  <c r="E202" i="8"/>
  <c r="D202" i="8"/>
  <c r="C202" i="8"/>
  <c r="B202" i="8"/>
  <c r="A202" i="8"/>
  <c r="H201" i="8"/>
  <c r="G201" i="8"/>
  <c r="F201" i="8"/>
  <c r="E201" i="8"/>
  <c r="D201" i="8"/>
  <c r="C201" i="8"/>
  <c r="B201" i="8"/>
  <c r="A201" i="8"/>
  <c r="H200" i="8"/>
  <c r="G200" i="8"/>
  <c r="F200" i="8"/>
  <c r="E200" i="8"/>
  <c r="D200" i="8"/>
  <c r="C200" i="8"/>
  <c r="B200" i="8"/>
  <c r="A200" i="8"/>
  <c r="H199" i="8"/>
  <c r="G199" i="8"/>
  <c r="F199" i="8"/>
  <c r="E199" i="8"/>
  <c r="D199" i="8"/>
  <c r="C199" i="8"/>
  <c r="B199" i="8"/>
  <c r="A199" i="8"/>
  <c r="H198" i="8"/>
  <c r="G198" i="8"/>
  <c r="F198" i="8"/>
  <c r="E198" i="8"/>
  <c r="D198" i="8"/>
  <c r="C198" i="8"/>
  <c r="B198" i="8"/>
  <c r="A198" i="8"/>
  <c r="H197" i="8"/>
  <c r="G197" i="8"/>
  <c r="F197" i="8"/>
  <c r="E197" i="8"/>
  <c r="D197" i="8"/>
  <c r="C197" i="8"/>
  <c r="B197" i="8"/>
  <c r="A197" i="8"/>
  <c r="H196" i="8"/>
  <c r="G196" i="8"/>
  <c r="F196" i="8"/>
  <c r="E196" i="8"/>
  <c r="D196" i="8"/>
  <c r="C196" i="8"/>
  <c r="B196" i="8"/>
  <c r="A196" i="8"/>
  <c r="H195" i="8"/>
  <c r="G195" i="8"/>
  <c r="F195" i="8"/>
  <c r="E195" i="8"/>
  <c r="D195" i="8"/>
  <c r="C195" i="8"/>
  <c r="B195" i="8"/>
  <c r="A195" i="8"/>
  <c r="H194" i="8"/>
  <c r="G194" i="8"/>
  <c r="F194" i="8"/>
  <c r="E194" i="8"/>
  <c r="D194" i="8"/>
  <c r="C194" i="8"/>
  <c r="B194" i="8"/>
  <c r="A194" i="8"/>
  <c r="H193" i="8"/>
  <c r="G193" i="8"/>
  <c r="F193" i="8"/>
  <c r="E193" i="8"/>
  <c r="D193" i="8"/>
  <c r="C193" i="8"/>
  <c r="B193" i="8"/>
  <c r="A193" i="8"/>
  <c r="H192" i="8"/>
  <c r="G192" i="8"/>
  <c r="F192" i="8"/>
  <c r="E192" i="8"/>
  <c r="D192" i="8"/>
  <c r="C192" i="8"/>
  <c r="B192" i="8"/>
  <c r="A192" i="8"/>
  <c r="H191" i="8"/>
  <c r="G191" i="8"/>
  <c r="F191" i="8"/>
  <c r="E191" i="8"/>
  <c r="D191" i="8"/>
  <c r="C191" i="8"/>
  <c r="B191" i="8"/>
  <c r="A191" i="8"/>
  <c r="H190" i="8"/>
  <c r="G190" i="8"/>
  <c r="F190" i="8"/>
  <c r="E190" i="8"/>
  <c r="D190" i="8"/>
  <c r="C190" i="8"/>
  <c r="B190" i="8"/>
  <c r="A190" i="8"/>
  <c r="H189" i="8"/>
  <c r="G189" i="8"/>
  <c r="F189" i="8"/>
  <c r="E189" i="8"/>
  <c r="D189" i="8"/>
  <c r="C189" i="8"/>
  <c r="B189" i="8"/>
  <c r="A189" i="8"/>
  <c r="H188" i="8"/>
  <c r="G188" i="8"/>
  <c r="F188" i="8"/>
  <c r="E188" i="8"/>
  <c r="D188" i="8"/>
  <c r="C188" i="8"/>
  <c r="B188" i="8"/>
  <c r="A188" i="8"/>
  <c r="H187" i="8"/>
  <c r="G187" i="8"/>
  <c r="F187" i="8"/>
  <c r="E187" i="8"/>
  <c r="D187" i="8"/>
  <c r="C187" i="8"/>
  <c r="B187" i="8"/>
  <c r="A187" i="8"/>
  <c r="H186" i="8"/>
  <c r="G186" i="8"/>
  <c r="F186" i="8"/>
  <c r="E186" i="8"/>
  <c r="D186" i="8"/>
  <c r="C186" i="8"/>
  <c r="B186" i="8"/>
  <c r="A186" i="8"/>
  <c r="H185" i="8"/>
  <c r="G185" i="8"/>
  <c r="F185" i="8"/>
  <c r="E185" i="8"/>
  <c r="D185" i="8"/>
  <c r="C185" i="8"/>
  <c r="B185" i="8"/>
  <c r="A185" i="8"/>
  <c r="H184" i="8"/>
  <c r="G184" i="8"/>
  <c r="F184" i="8"/>
  <c r="E184" i="8"/>
  <c r="D184" i="8"/>
  <c r="C184" i="8"/>
  <c r="B184" i="8"/>
  <c r="A184" i="8"/>
  <c r="H183" i="8"/>
  <c r="G183" i="8"/>
  <c r="F183" i="8"/>
  <c r="E183" i="8"/>
  <c r="D183" i="8"/>
  <c r="C183" i="8"/>
  <c r="B183" i="8"/>
  <c r="A183" i="8"/>
  <c r="H182" i="8"/>
  <c r="G182" i="8"/>
  <c r="F182" i="8"/>
  <c r="E182" i="8"/>
  <c r="D182" i="8"/>
  <c r="C182" i="8"/>
  <c r="B182" i="8"/>
  <c r="A182" i="8"/>
  <c r="H181" i="8"/>
  <c r="G181" i="8"/>
  <c r="F181" i="8"/>
  <c r="E181" i="8"/>
  <c r="D181" i="8"/>
  <c r="C181" i="8"/>
  <c r="B181" i="8"/>
  <c r="A181" i="8"/>
  <c r="H180" i="8"/>
  <c r="G180" i="8"/>
  <c r="F180" i="8"/>
  <c r="E180" i="8"/>
  <c r="D180" i="8"/>
  <c r="C180" i="8"/>
  <c r="B180" i="8"/>
  <c r="A180" i="8"/>
  <c r="H179" i="8"/>
  <c r="G179" i="8"/>
  <c r="F179" i="8"/>
  <c r="E179" i="8"/>
  <c r="D179" i="8"/>
  <c r="C179" i="8"/>
  <c r="B179" i="8"/>
  <c r="A179" i="8"/>
  <c r="H178" i="8"/>
  <c r="G178" i="8"/>
  <c r="F178" i="8"/>
  <c r="E178" i="8"/>
  <c r="D178" i="8"/>
  <c r="C178" i="8"/>
  <c r="B178" i="8"/>
  <c r="A178" i="8"/>
  <c r="H177" i="8"/>
  <c r="G177" i="8"/>
  <c r="F177" i="8"/>
  <c r="E177" i="8"/>
  <c r="D177" i="8"/>
  <c r="C177" i="8"/>
  <c r="B177" i="8"/>
  <c r="A177" i="8"/>
  <c r="H176" i="8"/>
  <c r="G176" i="8"/>
  <c r="F176" i="8"/>
  <c r="E176" i="8"/>
  <c r="D176" i="8"/>
  <c r="C176" i="8"/>
  <c r="B176" i="8"/>
  <c r="A176" i="8"/>
  <c r="H175" i="8"/>
  <c r="G175" i="8"/>
  <c r="F175" i="8"/>
  <c r="E175" i="8"/>
  <c r="D175" i="8"/>
  <c r="C175" i="8"/>
  <c r="B175" i="8"/>
  <c r="A175" i="8"/>
  <c r="H174" i="8"/>
  <c r="G174" i="8"/>
  <c r="F174" i="8"/>
  <c r="E174" i="8"/>
  <c r="D174" i="8"/>
  <c r="C174" i="8"/>
  <c r="B174" i="8"/>
  <c r="A174" i="8"/>
  <c r="H173" i="8"/>
  <c r="G173" i="8"/>
  <c r="F173" i="8"/>
  <c r="E173" i="8"/>
  <c r="D173" i="8"/>
  <c r="C173" i="8"/>
  <c r="B173" i="8"/>
  <c r="A173" i="8"/>
  <c r="H172" i="8"/>
  <c r="G172" i="8"/>
  <c r="F172" i="8"/>
  <c r="E172" i="8"/>
  <c r="D172" i="8"/>
  <c r="C172" i="8"/>
  <c r="B172" i="8"/>
  <c r="A172" i="8"/>
  <c r="H171" i="8"/>
  <c r="G171" i="8"/>
  <c r="F171" i="8"/>
  <c r="E171" i="8"/>
  <c r="D171" i="8"/>
  <c r="C171" i="8"/>
  <c r="B171" i="8"/>
  <c r="A171" i="8"/>
  <c r="H170" i="8"/>
  <c r="G170" i="8"/>
  <c r="F170" i="8"/>
  <c r="E170" i="8"/>
  <c r="D170" i="8"/>
  <c r="C170" i="8"/>
  <c r="B170" i="8"/>
  <c r="A170" i="8"/>
  <c r="H169" i="8"/>
  <c r="G169" i="8"/>
  <c r="F169" i="8"/>
  <c r="E169" i="8"/>
  <c r="D169" i="8"/>
  <c r="C169" i="8"/>
  <c r="B169" i="8"/>
  <c r="A169" i="8"/>
  <c r="H168" i="8"/>
  <c r="G168" i="8"/>
  <c r="F168" i="8"/>
  <c r="E168" i="8"/>
  <c r="D168" i="8"/>
  <c r="C168" i="8"/>
  <c r="B168" i="8"/>
  <c r="A168" i="8"/>
  <c r="H167" i="8"/>
  <c r="G167" i="8"/>
  <c r="F167" i="8"/>
  <c r="E167" i="8"/>
  <c r="D167" i="8"/>
  <c r="C167" i="8"/>
  <c r="B167" i="8"/>
  <c r="A167" i="8"/>
  <c r="H166" i="8"/>
  <c r="G166" i="8"/>
  <c r="F166" i="8"/>
  <c r="E166" i="8"/>
  <c r="D166" i="8"/>
  <c r="C166" i="8"/>
  <c r="B166" i="8"/>
  <c r="A166" i="8"/>
  <c r="H165" i="8"/>
  <c r="G165" i="8"/>
  <c r="F165" i="8"/>
  <c r="E165" i="8"/>
  <c r="D165" i="8"/>
  <c r="C165" i="8"/>
  <c r="B165" i="8"/>
  <c r="A165" i="8"/>
  <c r="H164" i="8"/>
  <c r="G164" i="8"/>
  <c r="F164" i="8"/>
  <c r="E164" i="8"/>
  <c r="D164" i="8"/>
  <c r="C164" i="8"/>
  <c r="B164" i="8"/>
  <c r="A164" i="8"/>
  <c r="H163" i="8"/>
  <c r="G163" i="8"/>
  <c r="F163" i="8"/>
  <c r="E163" i="8"/>
  <c r="D163" i="8"/>
  <c r="C163" i="8"/>
  <c r="B163" i="8"/>
  <c r="A163" i="8"/>
  <c r="H162" i="8"/>
  <c r="G162" i="8"/>
  <c r="F162" i="8"/>
  <c r="E162" i="8"/>
  <c r="D162" i="8"/>
  <c r="C162" i="8"/>
  <c r="B162" i="8"/>
  <c r="A162" i="8"/>
  <c r="H161" i="8"/>
  <c r="G161" i="8"/>
  <c r="F161" i="8"/>
  <c r="E161" i="8"/>
  <c r="D161" i="8"/>
  <c r="C161" i="8"/>
  <c r="B161" i="8"/>
  <c r="A161" i="8"/>
  <c r="H160" i="8"/>
  <c r="G160" i="8"/>
  <c r="F160" i="8"/>
  <c r="E160" i="8"/>
  <c r="D160" i="8"/>
  <c r="C160" i="8"/>
  <c r="B160" i="8"/>
  <c r="A160" i="8"/>
  <c r="H159" i="8"/>
  <c r="G159" i="8"/>
  <c r="F159" i="8"/>
  <c r="E159" i="8"/>
  <c r="D159" i="8"/>
  <c r="C159" i="8"/>
  <c r="B159" i="8"/>
  <c r="A159" i="8"/>
  <c r="H158" i="8"/>
  <c r="G158" i="8"/>
  <c r="F158" i="8"/>
  <c r="E158" i="8"/>
  <c r="D158" i="8"/>
  <c r="C158" i="8"/>
  <c r="B158" i="8"/>
  <c r="A158" i="8"/>
  <c r="H157" i="8"/>
  <c r="G157" i="8"/>
  <c r="F157" i="8"/>
  <c r="E157" i="8"/>
  <c r="D157" i="8"/>
  <c r="C157" i="8"/>
  <c r="B157" i="8"/>
  <c r="A157" i="8"/>
  <c r="H156" i="8"/>
  <c r="G156" i="8"/>
  <c r="F156" i="8"/>
  <c r="E156" i="8"/>
  <c r="D156" i="8"/>
  <c r="C156" i="8"/>
  <c r="B156" i="8"/>
  <c r="A156" i="8"/>
  <c r="H155" i="8"/>
  <c r="G155" i="8"/>
  <c r="F155" i="8"/>
  <c r="E155" i="8"/>
  <c r="D155" i="8"/>
  <c r="C155" i="8"/>
  <c r="B155" i="8"/>
  <c r="A155" i="8"/>
  <c r="H154" i="8"/>
  <c r="G154" i="8"/>
  <c r="F154" i="8"/>
  <c r="E154" i="8"/>
  <c r="D154" i="8"/>
  <c r="C154" i="8"/>
  <c r="B154" i="8"/>
  <c r="A154" i="8"/>
  <c r="H153" i="8"/>
  <c r="G153" i="8"/>
  <c r="F153" i="8"/>
  <c r="E153" i="8"/>
  <c r="D153" i="8"/>
  <c r="C153" i="8"/>
  <c r="B153" i="8"/>
  <c r="A153" i="8"/>
  <c r="H152" i="8"/>
  <c r="G152" i="8"/>
  <c r="F152" i="8"/>
  <c r="E152" i="8"/>
  <c r="D152" i="8"/>
  <c r="C152" i="8"/>
  <c r="B152" i="8"/>
  <c r="A152" i="8"/>
  <c r="H151" i="8"/>
  <c r="G151" i="8"/>
  <c r="F151" i="8"/>
  <c r="E151" i="8"/>
  <c r="D151" i="8"/>
  <c r="C151" i="8"/>
  <c r="B151" i="8"/>
  <c r="A151" i="8"/>
  <c r="H150" i="8"/>
  <c r="G150" i="8"/>
  <c r="F150" i="8"/>
  <c r="E150" i="8"/>
  <c r="D150" i="8"/>
  <c r="C150" i="8"/>
  <c r="B150" i="8"/>
  <c r="A150" i="8"/>
  <c r="H149" i="8"/>
  <c r="G149" i="8"/>
  <c r="F149" i="8"/>
  <c r="E149" i="8"/>
  <c r="D149" i="8"/>
  <c r="C149" i="8"/>
  <c r="B149" i="8"/>
  <c r="A149" i="8"/>
  <c r="H148" i="8"/>
  <c r="G148" i="8"/>
  <c r="F148" i="8"/>
  <c r="E148" i="8"/>
  <c r="D148" i="8"/>
  <c r="C148" i="8"/>
  <c r="B148" i="8"/>
  <c r="A148" i="8"/>
  <c r="H147" i="8"/>
  <c r="G147" i="8"/>
  <c r="F147" i="8"/>
  <c r="E147" i="8"/>
  <c r="D147" i="8"/>
  <c r="C147" i="8"/>
  <c r="B147" i="8"/>
  <c r="A147" i="8"/>
  <c r="H146" i="8"/>
  <c r="G146" i="8"/>
  <c r="F146" i="8"/>
  <c r="E146" i="8"/>
  <c r="D146" i="8"/>
  <c r="C146" i="8"/>
  <c r="B146" i="8"/>
  <c r="A146" i="8"/>
  <c r="H145" i="8"/>
  <c r="G145" i="8"/>
  <c r="F145" i="8"/>
  <c r="E145" i="8"/>
  <c r="D145" i="8"/>
  <c r="C145" i="8"/>
  <c r="B145" i="8"/>
  <c r="A145" i="8"/>
  <c r="H144" i="8"/>
  <c r="G144" i="8"/>
  <c r="F144" i="8"/>
  <c r="E144" i="8"/>
  <c r="D144" i="8"/>
  <c r="C144" i="8"/>
  <c r="B144" i="8"/>
  <c r="A144" i="8"/>
  <c r="H143" i="8"/>
  <c r="G143" i="8"/>
  <c r="F143" i="8"/>
  <c r="E143" i="8"/>
  <c r="D143" i="8"/>
  <c r="C143" i="8"/>
  <c r="B143" i="8"/>
  <c r="A143" i="8"/>
  <c r="H142" i="8"/>
  <c r="G142" i="8"/>
  <c r="F142" i="8"/>
  <c r="E142" i="8"/>
  <c r="D142" i="8"/>
  <c r="C142" i="8"/>
  <c r="B142" i="8"/>
  <c r="A142" i="8"/>
  <c r="H141" i="8"/>
  <c r="G141" i="8"/>
  <c r="F141" i="8"/>
  <c r="E141" i="8"/>
  <c r="D141" i="8"/>
  <c r="C141" i="8"/>
  <c r="B141" i="8"/>
  <c r="A141" i="8"/>
  <c r="H140" i="8"/>
  <c r="G140" i="8"/>
  <c r="F140" i="8"/>
  <c r="E140" i="8"/>
  <c r="D140" i="8"/>
  <c r="C140" i="8"/>
  <c r="B140" i="8"/>
  <c r="A140" i="8"/>
  <c r="H139" i="8"/>
  <c r="G139" i="8"/>
  <c r="F139" i="8"/>
  <c r="E139" i="8"/>
  <c r="D139" i="8"/>
  <c r="C139" i="8"/>
  <c r="B139" i="8"/>
  <c r="A139" i="8"/>
  <c r="H138" i="8"/>
  <c r="G138" i="8"/>
  <c r="F138" i="8"/>
  <c r="E138" i="8"/>
  <c r="D138" i="8"/>
  <c r="C138" i="8"/>
  <c r="B138" i="8"/>
  <c r="A138" i="8"/>
  <c r="H137" i="8"/>
  <c r="G137" i="8"/>
  <c r="F137" i="8"/>
  <c r="E137" i="8"/>
  <c r="D137" i="8"/>
  <c r="C137" i="8"/>
  <c r="B137" i="8"/>
  <c r="A137" i="8"/>
  <c r="H136" i="8"/>
  <c r="G136" i="8"/>
  <c r="F136" i="8"/>
  <c r="E136" i="8"/>
  <c r="D136" i="8"/>
  <c r="C136" i="8"/>
  <c r="B136" i="8"/>
  <c r="A136" i="8"/>
  <c r="H135" i="8"/>
  <c r="G135" i="8"/>
  <c r="F135" i="8"/>
  <c r="E135" i="8"/>
  <c r="D135" i="8"/>
  <c r="C135" i="8"/>
  <c r="B135" i="8"/>
  <c r="A135" i="8"/>
  <c r="H134" i="8"/>
  <c r="G134" i="8"/>
  <c r="F134" i="8"/>
  <c r="E134" i="8"/>
  <c r="D134" i="8"/>
  <c r="C134" i="8"/>
  <c r="B134" i="8"/>
  <c r="A134" i="8"/>
  <c r="H133" i="8"/>
  <c r="G133" i="8"/>
  <c r="F133" i="8"/>
  <c r="E133" i="8"/>
  <c r="D133" i="8"/>
  <c r="C133" i="8"/>
  <c r="B133" i="8"/>
  <c r="A133" i="8"/>
  <c r="H132" i="8"/>
  <c r="G132" i="8"/>
  <c r="F132" i="8"/>
  <c r="E132" i="8"/>
  <c r="D132" i="8"/>
  <c r="C132" i="8"/>
  <c r="B132" i="8"/>
  <c r="A132" i="8"/>
  <c r="H131" i="8"/>
  <c r="G131" i="8"/>
  <c r="F131" i="8"/>
  <c r="E131" i="8"/>
  <c r="D131" i="8"/>
  <c r="C131" i="8"/>
  <c r="B131" i="8"/>
  <c r="A131" i="8"/>
  <c r="H130" i="8"/>
  <c r="G130" i="8"/>
  <c r="F130" i="8"/>
  <c r="E130" i="8"/>
  <c r="D130" i="8"/>
  <c r="C130" i="8"/>
  <c r="B130" i="8"/>
  <c r="A130" i="8"/>
  <c r="H129" i="8"/>
  <c r="G129" i="8"/>
  <c r="F129" i="8"/>
  <c r="E129" i="8"/>
  <c r="D129" i="8"/>
  <c r="C129" i="8"/>
  <c r="B129" i="8"/>
  <c r="A129" i="8"/>
  <c r="H128" i="8"/>
  <c r="G128" i="8"/>
  <c r="F128" i="8"/>
  <c r="E128" i="8"/>
  <c r="D128" i="8"/>
  <c r="C128" i="8"/>
  <c r="B128" i="8"/>
  <c r="A128" i="8"/>
  <c r="H127" i="8"/>
  <c r="G127" i="8"/>
  <c r="F127" i="8"/>
  <c r="E127" i="8"/>
  <c r="D127" i="8"/>
  <c r="C127" i="8"/>
  <c r="B127" i="8"/>
  <c r="A127" i="8"/>
  <c r="H126" i="8"/>
  <c r="G126" i="8"/>
  <c r="F126" i="8"/>
  <c r="E126" i="8"/>
  <c r="D126" i="8"/>
  <c r="C126" i="8"/>
  <c r="B126" i="8"/>
  <c r="A126" i="8"/>
  <c r="H125" i="8"/>
  <c r="G125" i="8"/>
  <c r="F125" i="8"/>
  <c r="E125" i="8"/>
  <c r="D125" i="8"/>
  <c r="C125" i="8"/>
  <c r="B125" i="8"/>
  <c r="A125" i="8"/>
  <c r="H124" i="8"/>
  <c r="G124" i="8"/>
  <c r="F124" i="8"/>
  <c r="E124" i="8"/>
  <c r="D124" i="8"/>
  <c r="C124" i="8"/>
  <c r="B124" i="8"/>
  <c r="A124" i="8"/>
  <c r="H123" i="8"/>
  <c r="G123" i="8"/>
  <c r="F123" i="8"/>
  <c r="E123" i="8"/>
  <c r="D123" i="8"/>
  <c r="C123" i="8"/>
  <c r="B123" i="8"/>
  <c r="A123" i="8"/>
  <c r="H122" i="8"/>
  <c r="G122" i="8"/>
  <c r="F122" i="8"/>
  <c r="E122" i="8"/>
  <c r="D122" i="8"/>
  <c r="C122" i="8"/>
  <c r="B122" i="8"/>
  <c r="A122" i="8"/>
  <c r="H121" i="8"/>
  <c r="G121" i="8"/>
  <c r="F121" i="8"/>
  <c r="E121" i="8"/>
  <c r="D121" i="8"/>
  <c r="C121" i="8"/>
  <c r="B121" i="8"/>
  <c r="A121" i="8"/>
  <c r="H120" i="8"/>
  <c r="G120" i="8"/>
  <c r="F120" i="8"/>
  <c r="E120" i="8"/>
  <c r="D120" i="8"/>
  <c r="C120" i="8"/>
  <c r="B120" i="8"/>
  <c r="A120" i="8"/>
  <c r="H119" i="8"/>
  <c r="G119" i="8"/>
  <c r="F119" i="8"/>
  <c r="E119" i="8"/>
  <c r="D119" i="8"/>
  <c r="C119" i="8"/>
  <c r="B119" i="8"/>
  <c r="A119" i="8"/>
  <c r="H118" i="8"/>
  <c r="G118" i="8"/>
  <c r="F118" i="8"/>
  <c r="E118" i="8"/>
  <c r="D118" i="8"/>
  <c r="C118" i="8"/>
  <c r="B118" i="8"/>
  <c r="A118" i="8"/>
  <c r="H117" i="8"/>
  <c r="G117" i="8"/>
  <c r="F117" i="8"/>
  <c r="E117" i="8"/>
  <c r="D117" i="8"/>
  <c r="C117" i="8"/>
  <c r="B117" i="8"/>
  <c r="A117" i="8"/>
  <c r="H116" i="8"/>
  <c r="G116" i="8"/>
  <c r="F116" i="8"/>
  <c r="E116" i="8"/>
  <c r="D116" i="8"/>
  <c r="C116" i="8"/>
  <c r="B116" i="8"/>
  <c r="A116" i="8"/>
  <c r="H115" i="8"/>
  <c r="G115" i="8"/>
  <c r="F115" i="8"/>
  <c r="E115" i="8"/>
  <c r="D115" i="8"/>
  <c r="C115" i="8"/>
  <c r="B115" i="8"/>
  <c r="A115" i="8"/>
  <c r="H114" i="8"/>
  <c r="G114" i="8"/>
  <c r="F114" i="8"/>
  <c r="E114" i="8"/>
  <c r="D114" i="8"/>
  <c r="C114" i="8"/>
  <c r="B114" i="8"/>
  <c r="A114" i="8"/>
  <c r="H113" i="8"/>
  <c r="G113" i="8"/>
  <c r="F113" i="8"/>
  <c r="E113" i="8"/>
  <c r="D113" i="8"/>
  <c r="C113" i="8"/>
  <c r="B113" i="8"/>
  <c r="A113" i="8"/>
  <c r="H112" i="8"/>
  <c r="G112" i="8"/>
  <c r="F112" i="8"/>
  <c r="E112" i="8"/>
  <c r="D112" i="8"/>
  <c r="C112" i="8"/>
  <c r="B112" i="8"/>
  <c r="A112" i="8"/>
  <c r="H111" i="8"/>
  <c r="G111" i="8"/>
  <c r="F111" i="8"/>
  <c r="E111" i="8"/>
  <c r="D111" i="8"/>
  <c r="C111" i="8"/>
  <c r="B111" i="8"/>
  <c r="A111" i="8"/>
  <c r="H110" i="8"/>
  <c r="G110" i="8"/>
  <c r="F110" i="8"/>
  <c r="E110" i="8"/>
  <c r="D110" i="8"/>
  <c r="C110" i="8"/>
  <c r="B110" i="8"/>
  <c r="A110" i="8"/>
  <c r="H109" i="8"/>
  <c r="G109" i="8"/>
  <c r="F109" i="8"/>
  <c r="E109" i="8"/>
  <c r="D109" i="8"/>
  <c r="C109" i="8"/>
  <c r="B109" i="8"/>
  <c r="A109" i="8"/>
  <c r="H108" i="8"/>
  <c r="G108" i="8"/>
  <c r="F108" i="8"/>
  <c r="E108" i="8"/>
  <c r="D108" i="8"/>
  <c r="C108" i="8"/>
  <c r="B108" i="8"/>
  <c r="A108" i="8"/>
  <c r="H107" i="8"/>
  <c r="G107" i="8"/>
  <c r="F107" i="8"/>
  <c r="E107" i="8"/>
  <c r="D107" i="8"/>
  <c r="C107" i="8"/>
  <c r="B107" i="8"/>
  <c r="A107" i="8"/>
  <c r="H106" i="8"/>
  <c r="G106" i="8"/>
  <c r="F106" i="8"/>
  <c r="E106" i="8"/>
  <c r="D106" i="8"/>
  <c r="C106" i="8"/>
  <c r="B106" i="8"/>
  <c r="A106" i="8"/>
  <c r="H105" i="8"/>
  <c r="G105" i="8"/>
  <c r="F105" i="8"/>
  <c r="E105" i="8"/>
  <c r="D105" i="8"/>
  <c r="C105" i="8"/>
  <c r="B105" i="8"/>
  <c r="A105" i="8"/>
  <c r="H104" i="8"/>
  <c r="G104" i="8"/>
  <c r="F104" i="8"/>
  <c r="E104" i="8"/>
  <c r="D104" i="8"/>
  <c r="C104" i="8"/>
  <c r="B104" i="8"/>
  <c r="A104" i="8"/>
  <c r="H103" i="8"/>
  <c r="G103" i="8"/>
  <c r="F103" i="8"/>
  <c r="E103" i="8"/>
  <c r="D103" i="8"/>
  <c r="C103" i="8"/>
  <c r="B103" i="8"/>
  <c r="A103" i="8"/>
  <c r="H102" i="8"/>
  <c r="G102" i="8"/>
  <c r="F102" i="8"/>
  <c r="E102" i="8"/>
  <c r="D102" i="8"/>
  <c r="C102" i="8"/>
  <c r="B102" i="8"/>
  <c r="A102" i="8"/>
  <c r="H101" i="8"/>
  <c r="G101" i="8"/>
  <c r="F101" i="8"/>
  <c r="E101" i="8"/>
  <c r="D101" i="8"/>
  <c r="C101" i="8"/>
  <c r="B101" i="8"/>
  <c r="A101" i="8"/>
  <c r="H100" i="8"/>
  <c r="G100" i="8"/>
  <c r="F100" i="8"/>
  <c r="E100" i="8"/>
  <c r="D100" i="8"/>
  <c r="C100" i="8"/>
  <c r="B100" i="8"/>
  <c r="A100" i="8"/>
  <c r="H99" i="8"/>
  <c r="G99" i="8"/>
  <c r="F99" i="8"/>
  <c r="E99" i="8"/>
  <c r="D99" i="8"/>
  <c r="C99" i="8"/>
  <c r="B99" i="8"/>
  <c r="A99" i="8"/>
  <c r="H98" i="8"/>
  <c r="G98" i="8"/>
  <c r="F98" i="8"/>
  <c r="E98" i="8"/>
  <c r="D98" i="8"/>
  <c r="C98" i="8"/>
  <c r="B98" i="8"/>
  <c r="A98" i="8"/>
  <c r="H97" i="8"/>
  <c r="G97" i="8"/>
  <c r="F97" i="8"/>
  <c r="E97" i="8"/>
  <c r="D97" i="8"/>
  <c r="C97" i="8"/>
  <c r="B97" i="8"/>
  <c r="A97" i="8"/>
  <c r="H96" i="8"/>
  <c r="G96" i="8"/>
  <c r="F96" i="8"/>
  <c r="E96" i="8"/>
  <c r="D96" i="8"/>
  <c r="C96" i="8"/>
  <c r="B96" i="8"/>
  <c r="A96" i="8"/>
  <c r="H95" i="8"/>
  <c r="G95" i="8"/>
  <c r="F95" i="8"/>
  <c r="E95" i="8"/>
  <c r="D95" i="8"/>
  <c r="C95" i="8"/>
  <c r="B95" i="8"/>
  <c r="A95" i="8"/>
  <c r="H94" i="8"/>
  <c r="G94" i="8"/>
  <c r="F94" i="8"/>
  <c r="E94" i="8"/>
  <c r="D94" i="8"/>
  <c r="C94" i="8"/>
  <c r="B94" i="8"/>
  <c r="A94" i="8"/>
  <c r="H93" i="8"/>
  <c r="G93" i="8"/>
  <c r="F93" i="8"/>
  <c r="E93" i="8"/>
  <c r="D93" i="8"/>
  <c r="C93" i="8"/>
  <c r="B93" i="8"/>
  <c r="A93" i="8"/>
  <c r="H92" i="8"/>
  <c r="G92" i="8"/>
  <c r="F92" i="8"/>
  <c r="E92" i="8"/>
  <c r="D92" i="8"/>
  <c r="C92" i="8"/>
  <c r="B92" i="8"/>
  <c r="A92" i="8"/>
  <c r="H91" i="8"/>
  <c r="G91" i="8"/>
  <c r="F91" i="8"/>
  <c r="E91" i="8"/>
  <c r="D91" i="8"/>
  <c r="C91" i="8"/>
  <c r="B91" i="8"/>
  <c r="A91" i="8"/>
  <c r="H90" i="8"/>
  <c r="G90" i="8"/>
  <c r="F90" i="8"/>
  <c r="E90" i="8"/>
  <c r="D90" i="8"/>
  <c r="C90" i="8"/>
  <c r="B90" i="8"/>
  <c r="A90" i="8"/>
  <c r="H89" i="8"/>
  <c r="G89" i="8"/>
  <c r="F89" i="8"/>
  <c r="E89" i="8"/>
  <c r="D89" i="8"/>
  <c r="C89" i="8"/>
  <c r="B89" i="8"/>
  <c r="A89" i="8"/>
  <c r="H88" i="8"/>
  <c r="G88" i="8"/>
  <c r="F88" i="8"/>
  <c r="E88" i="8"/>
  <c r="D88" i="8"/>
  <c r="C88" i="8"/>
  <c r="B88" i="8"/>
  <c r="A88" i="8"/>
  <c r="H87" i="8"/>
  <c r="G87" i="8"/>
  <c r="F87" i="8"/>
  <c r="E87" i="8"/>
  <c r="D87" i="8"/>
  <c r="C87" i="8"/>
  <c r="B87" i="8"/>
  <c r="A87" i="8"/>
  <c r="H86" i="8"/>
  <c r="G86" i="8"/>
  <c r="F86" i="8"/>
  <c r="E86" i="8"/>
  <c r="D86" i="8"/>
  <c r="C86" i="8"/>
  <c r="B86" i="8"/>
  <c r="A86" i="8"/>
  <c r="H85" i="8"/>
  <c r="G85" i="8"/>
  <c r="F85" i="8"/>
  <c r="E85" i="8"/>
  <c r="D85" i="8"/>
  <c r="C85" i="8"/>
  <c r="B85" i="8"/>
  <c r="A85" i="8"/>
  <c r="H84" i="8"/>
  <c r="G84" i="8"/>
  <c r="F84" i="8"/>
  <c r="E84" i="8"/>
  <c r="D84" i="8"/>
  <c r="C84" i="8"/>
  <c r="B84" i="8"/>
  <c r="A84" i="8"/>
  <c r="H83" i="8"/>
  <c r="G83" i="8"/>
  <c r="F83" i="8"/>
  <c r="E83" i="8"/>
  <c r="D83" i="8"/>
  <c r="C83" i="8"/>
  <c r="B83" i="8"/>
  <c r="A83" i="8"/>
  <c r="H82" i="8"/>
  <c r="G82" i="8"/>
  <c r="F82" i="8"/>
  <c r="E82" i="8"/>
  <c r="D82" i="8"/>
  <c r="C82" i="8"/>
  <c r="B82" i="8"/>
  <c r="A82" i="8"/>
  <c r="H81" i="8"/>
  <c r="G81" i="8"/>
  <c r="F81" i="8"/>
  <c r="E81" i="8"/>
  <c r="D81" i="8"/>
  <c r="C81" i="8"/>
  <c r="B81" i="8"/>
  <c r="A81" i="8"/>
  <c r="H80" i="8"/>
  <c r="G80" i="8"/>
  <c r="F80" i="8"/>
  <c r="E80" i="8"/>
  <c r="D80" i="8"/>
  <c r="C80" i="8"/>
  <c r="B80" i="8"/>
  <c r="A80" i="8"/>
  <c r="H79" i="8"/>
  <c r="G79" i="8"/>
  <c r="F79" i="8"/>
  <c r="E79" i="8"/>
  <c r="D79" i="8"/>
  <c r="C79" i="8"/>
  <c r="B79" i="8"/>
  <c r="A79" i="8"/>
  <c r="H78" i="8"/>
  <c r="G78" i="8"/>
  <c r="F78" i="8"/>
  <c r="E78" i="8"/>
  <c r="D78" i="8"/>
  <c r="C78" i="8"/>
  <c r="B78" i="8"/>
  <c r="A78" i="8"/>
  <c r="H77" i="8"/>
  <c r="G77" i="8"/>
  <c r="F77" i="8"/>
  <c r="E77" i="8"/>
  <c r="D77" i="8"/>
  <c r="C77" i="8"/>
  <c r="B77" i="8"/>
  <c r="A77" i="8"/>
  <c r="H76" i="8"/>
  <c r="G76" i="8"/>
  <c r="F76" i="8"/>
  <c r="E76" i="8"/>
  <c r="D76" i="8"/>
  <c r="C76" i="8"/>
  <c r="B76" i="8"/>
  <c r="A76" i="8"/>
  <c r="H75" i="8"/>
  <c r="G75" i="8"/>
  <c r="F75" i="8"/>
  <c r="E75" i="8"/>
  <c r="D75" i="8"/>
  <c r="C75" i="8"/>
  <c r="B75" i="8"/>
  <c r="A75" i="8"/>
  <c r="H74" i="8"/>
  <c r="G74" i="8"/>
  <c r="F74" i="8"/>
  <c r="E74" i="8"/>
  <c r="D74" i="8"/>
  <c r="C74" i="8"/>
  <c r="B74" i="8"/>
  <c r="A74" i="8"/>
  <c r="H73" i="8"/>
  <c r="G73" i="8"/>
  <c r="F73" i="8"/>
  <c r="E73" i="8"/>
  <c r="D73" i="8"/>
  <c r="C73" i="8"/>
  <c r="B73" i="8"/>
  <c r="A73" i="8"/>
  <c r="H72" i="8"/>
  <c r="G72" i="8"/>
  <c r="F72" i="8"/>
  <c r="E72" i="8"/>
  <c r="D72" i="8"/>
  <c r="C72" i="8"/>
  <c r="B72" i="8"/>
  <c r="A72" i="8"/>
  <c r="H71" i="8"/>
  <c r="G71" i="8"/>
  <c r="F71" i="8"/>
  <c r="E71" i="8"/>
  <c r="D71" i="8"/>
  <c r="C71" i="8"/>
  <c r="B71" i="8"/>
  <c r="A71" i="8"/>
  <c r="H70" i="8"/>
  <c r="G70" i="8"/>
  <c r="F70" i="8"/>
  <c r="E70" i="8"/>
  <c r="D70" i="8"/>
  <c r="C70" i="8"/>
  <c r="B70" i="8"/>
  <c r="A70" i="8"/>
  <c r="H69" i="8"/>
  <c r="G69" i="8"/>
  <c r="F69" i="8"/>
  <c r="E69" i="8"/>
  <c r="D69" i="8"/>
  <c r="C69" i="8"/>
  <c r="B69" i="8"/>
  <c r="A69" i="8"/>
  <c r="H68" i="8"/>
  <c r="G68" i="8"/>
  <c r="F68" i="8"/>
  <c r="E68" i="8"/>
  <c r="D68" i="8"/>
  <c r="C68" i="8"/>
  <c r="B68" i="8"/>
  <c r="A68" i="8"/>
  <c r="H67" i="8"/>
  <c r="G67" i="8"/>
  <c r="F67" i="8"/>
  <c r="E67" i="8"/>
  <c r="D67" i="8"/>
  <c r="C67" i="8"/>
  <c r="B67" i="8"/>
  <c r="A67" i="8"/>
  <c r="H66" i="8"/>
  <c r="G66" i="8"/>
  <c r="F66" i="8"/>
  <c r="E66" i="8"/>
  <c r="D66" i="8"/>
  <c r="C66" i="8"/>
  <c r="B66" i="8"/>
  <c r="A66" i="8"/>
  <c r="H65" i="8"/>
  <c r="G65" i="8"/>
  <c r="F65" i="8"/>
  <c r="E65" i="8"/>
  <c r="D65" i="8"/>
  <c r="C65" i="8"/>
  <c r="B65" i="8"/>
  <c r="A65" i="8"/>
  <c r="H64" i="8"/>
  <c r="G64" i="8"/>
  <c r="F64" i="8"/>
  <c r="E64" i="8"/>
  <c r="D64" i="8"/>
  <c r="C64" i="8"/>
  <c r="B64" i="8"/>
  <c r="A64" i="8"/>
  <c r="H63" i="8"/>
  <c r="G63" i="8"/>
  <c r="F63" i="8"/>
  <c r="E63" i="8"/>
  <c r="D63" i="8"/>
  <c r="C63" i="8"/>
  <c r="B63" i="8"/>
  <c r="A63" i="8"/>
  <c r="H62" i="8"/>
  <c r="G62" i="8"/>
  <c r="F62" i="8"/>
  <c r="E62" i="8"/>
  <c r="D62" i="8"/>
  <c r="C62" i="8"/>
  <c r="B62" i="8"/>
  <c r="A62" i="8"/>
  <c r="H61" i="8"/>
  <c r="G61" i="8"/>
  <c r="F61" i="8"/>
  <c r="E61" i="8"/>
  <c r="D61" i="8"/>
  <c r="C61" i="8"/>
  <c r="B61" i="8"/>
  <c r="A61" i="8"/>
  <c r="H60" i="8"/>
  <c r="G60" i="8"/>
  <c r="F60" i="8"/>
  <c r="E60" i="8"/>
  <c r="D60" i="8"/>
  <c r="C60" i="8"/>
  <c r="B60" i="8"/>
  <c r="A60" i="8"/>
  <c r="H59" i="8"/>
  <c r="G59" i="8"/>
  <c r="F59" i="8"/>
  <c r="E59" i="8"/>
  <c r="D59" i="8"/>
  <c r="C59" i="8"/>
  <c r="B59" i="8"/>
  <c r="A59" i="8"/>
  <c r="H58" i="8"/>
  <c r="G58" i="8"/>
  <c r="F58" i="8"/>
  <c r="E58" i="8"/>
  <c r="D58" i="8"/>
  <c r="C58" i="8"/>
  <c r="B58" i="8"/>
  <c r="A58" i="8"/>
  <c r="H57" i="8"/>
  <c r="G57" i="8"/>
  <c r="F57" i="8"/>
  <c r="E57" i="8"/>
  <c r="D57" i="8"/>
  <c r="C57" i="8"/>
  <c r="B57" i="8"/>
  <c r="A57" i="8"/>
  <c r="H56" i="8"/>
  <c r="G56" i="8"/>
  <c r="F56" i="8"/>
  <c r="E56" i="8"/>
  <c r="D56" i="8"/>
  <c r="C56" i="8"/>
  <c r="B56" i="8"/>
  <c r="A56" i="8"/>
  <c r="H55" i="8"/>
  <c r="G55" i="8"/>
  <c r="F55" i="8"/>
  <c r="E55" i="8"/>
  <c r="D55" i="8"/>
  <c r="C55" i="8"/>
  <c r="B55" i="8"/>
  <c r="A55" i="8"/>
  <c r="H54" i="8"/>
  <c r="G54" i="8"/>
  <c r="F54" i="8"/>
  <c r="E54" i="8"/>
  <c r="D54" i="8"/>
  <c r="C54" i="8"/>
  <c r="B54" i="8"/>
  <c r="A54" i="8"/>
  <c r="H53" i="8"/>
  <c r="G53" i="8"/>
  <c r="F53" i="8"/>
  <c r="E53" i="8"/>
  <c r="D53" i="8"/>
  <c r="C53" i="8"/>
  <c r="B53" i="8"/>
  <c r="A53" i="8"/>
  <c r="H52" i="8"/>
  <c r="G52" i="8"/>
  <c r="F52" i="8"/>
  <c r="E52" i="8"/>
  <c r="D52" i="8"/>
  <c r="C52" i="8"/>
  <c r="B52" i="8"/>
  <c r="A52" i="8"/>
  <c r="H51" i="8"/>
  <c r="G51" i="8"/>
  <c r="F51" i="8"/>
  <c r="E51" i="8"/>
  <c r="D51" i="8"/>
  <c r="C51" i="8"/>
  <c r="B51" i="8"/>
  <c r="A51" i="8"/>
  <c r="H50" i="8"/>
  <c r="G50" i="8"/>
  <c r="F50" i="8"/>
  <c r="E50" i="8"/>
  <c r="D50" i="8"/>
  <c r="C50" i="8"/>
  <c r="B50" i="8"/>
  <c r="A50" i="8"/>
  <c r="H49" i="8"/>
  <c r="G49" i="8"/>
  <c r="F49" i="8"/>
  <c r="E49" i="8"/>
  <c r="D49" i="8"/>
  <c r="C49" i="8"/>
  <c r="B49" i="8"/>
  <c r="A49" i="8"/>
  <c r="H48" i="8"/>
  <c r="G48" i="8"/>
  <c r="F48" i="8"/>
  <c r="E48" i="8"/>
  <c r="D48" i="8"/>
  <c r="C48" i="8"/>
  <c r="B48" i="8"/>
  <c r="A48" i="8"/>
  <c r="H47" i="8"/>
  <c r="G47" i="8"/>
  <c r="F47" i="8"/>
  <c r="E47" i="8"/>
  <c r="D47" i="8"/>
  <c r="C47" i="8"/>
  <c r="B47" i="8"/>
  <c r="A47" i="8"/>
  <c r="H46" i="8"/>
  <c r="G46" i="8"/>
  <c r="F46" i="8"/>
  <c r="E46" i="8"/>
  <c r="D46" i="8"/>
  <c r="C46" i="8"/>
  <c r="B46" i="8"/>
  <c r="A46" i="8"/>
  <c r="H45" i="8"/>
  <c r="G45" i="8"/>
  <c r="F45" i="8"/>
  <c r="E45" i="8"/>
  <c r="D45" i="8"/>
  <c r="C45" i="8"/>
  <c r="B45" i="8"/>
  <c r="A45" i="8"/>
  <c r="H44" i="8"/>
  <c r="G44" i="8"/>
  <c r="F44" i="8"/>
  <c r="E44" i="8"/>
  <c r="D44" i="8"/>
  <c r="C44" i="8"/>
  <c r="B44" i="8"/>
  <c r="A44" i="8"/>
  <c r="H43" i="8"/>
  <c r="G43" i="8"/>
  <c r="F43" i="8"/>
  <c r="E43" i="8"/>
  <c r="D43" i="8"/>
  <c r="C43" i="8"/>
  <c r="B43" i="8"/>
  <c r="A43" i="8"/>
  <c r="H42" i="8"/>
  <c r="G42" i="8"/>
  <c r="F42" i="8"/>
  <c r="E42" i="8"/>
  <c r="D42" i="8"/>
  <c r="C42" i="8"/>
  <c r="B42" i="8"/>
  <c r="A42" i="8"/>
  <c r="H41" i="8"/>
  <c r="G41" i="8"/>
  <c r="F41" i="8"/>
  <c r="E41" i="8"/>
  <c r="D41" i="8"/>
  <c r="C41" i="8"/>
  <c r="B41" i="8"/>
  <c r="A41" i="8"/>
  <c r="H40" i="8"/>
  <c r="G40" i="8"/>
  <c r="F40" i="8"/>
  <c r="E40" i="8"/>
  <c r="D40" i="8"/>
  <c r="C40" i="8"/>
  <c r="B40" i="8"/>
  <c r="A40" i="8"/>
  <c r="H39" i="8"/>
  <c r="G39" i="8"/>
  <c r="F39" i="8"/>
  <c r="E39" i="8"/>
  <c r="D39" i="8"/>
  <c r="C39" i="8"/>
  <c r="B39" i="8"/>
  <c r="A39" i="8"/>
  <c r="H38" i="8"/>
  <c r="G38" i="8"/>
  <c r="F38" i="8"/>
  <c r="E38" i="8"/>
  <c r="D38" i="8"/>
  <c r="C38" i="8"/>
  <c r="B38" i="8"/>
  <c r="A38" i="8"/>
  <c r="H37" i="8"/>
  <c r="G37" i="8"/>
  <c r="F37" i="8"/>
  <c r="E37" i="8"/>
  <c r="D37" i="8"/>
  <c r="C37" i="8"/>
  <c r="B37" i="8"/>
  <c r="A37" i="8"/>
  <c r="H36" i="8"/>
  <c r="G36" i="8"/>
  <c r="F36" i="8"/>
  <c r="E36" i="8"/>
  <c r="D36" i="8"/>
  <c r="C36" i="8"/>
  <c r="B36" i="8"/>
  <c r="A36" i="8"/>
  <c r="H35" i="8"/>
  <c r="G35" i="8"/>
  <c r="F35" i="8"/>
  <c r="E35" i="8"/>
  <c r="D35" i="8"/>
  <c r="C35" i="8"/>
  <c r="B35" i="8"/>
  <c r="A35" i="8"/>
  <c r="H34" i="8"/>
  <c r="G34" i="8"/>
  <c r="F34" i="8"/>
  <c r="E34" i="8"/>
  <c r="D34" i="8"/>
  <c r="C34" i="8"/>
  <c r="B34" i="8"/>
  <c r="A34" i="8"/>
  <c r="H33" i="8"/>
  <c r="G33" i="8"/>
  <c r="F33" i="8"/>
  <c r="E33" i="8"/>
  <c r="D33" i="8"/>
  <c r="C33" i="8"/>
  <c r="B33" i="8"/>
  <c r="A33" i="8"/>
  <c r="H32" i="8"/>
  <c r="G32" i="8"/>
  <c r="F32" i="8"/>
  <c r="E32" i="8"/>
  <c r="D32" i="8"/>
  <c r="C32" i="8"/>
  <c r="B32" i="8"/>
  <c r="A32" i="8"/>
  <c r="H31" i="8"/>
  <c r="G31" i="8"/>
  <c r="F31" i="8"/>
  <c r="E31" i="8"/>
  <c r="D31" i="8"/>
  <c r="C31" i="8"/>
  <c r="B31" i="8"/>
  <c r="A31" i="8"/>
  <c r="H30" i="8"/>
  <c r="G30" i="8"/>
  <c r="F30" i="8"/>
  <c r="E30" i="8"/>
  <c r="D30" i="8"/>
  <c r="C30" i="8"/>
  <c r="B30" i="8"/>
  <c r="A30" i="8"/>
  <c r="H29" i="8"/>
  <c r="G29" i="8"/>
  <c r="F29" i="8"/>
  <c r="E29" i="8"/>
  <c r="D29" i="8"/>
  <c r="C29" i="8"/>
  <c r="B29" i="8"/>
  <c r="A29" i="8"/>
  <c r="H28" i="8"/>
  <c r="G28" i="8"/>
  <c r="F28" i="8"/>
  <c r="E28" i="8"/>
  <c r="D28" i="8"/>
  <c r="C28" i="8"/>
  <c r="B28" i="8"/>
  <c r="A28" i="8"/>
  <c r="H27" i="8"/>
  <c r="G27" i="8"/>
  <c r="F27" i="8"/>
  <c r="E27" i="8"/>
  <c r="D27" i="8"/>
  <c r="C27" i="8"/>
  <c r="B27" i="8"/>
  <c r="A27" i="8"/>
  <c r="H26" i="8"/>
  <c r="G26" i="8"/>
  <c r="F26" i="8"/>
  <c r="E26" i="8"/>
  <c r="D26" i="8"/>
  <c r="C26" i="8"/>
  <c r="B26" i="8"/>
  <c r="A26" i="8"/>
  <c r="H25" i="8"/>
  <c r="G25" i="8"/>
  <c r="F25" i="8"/>
  <c r="E25" i="8"/>
  <c r="D25" i="8"/>
  <c r="C25" i="8"/>
  <c r="B25" i="8"/>
  <c r="A25" i="8"/>
  <c r="H24" i="8"/>
  <c r="G24" i="8"/>
  <c r="F24" i="8"/>
  <c r="E24" i="8"/>
  <c r="D24" i="8"/>
  <c r="C24" i="8"/>
  <c r="B24" i="8"/>
  <c r="A24" i="8"/>
  <c r="H23" i="8"/>
  <c r="G23" i="8"/>
  <c r="F23" i="8"/>
  <c r="E23" i="8"/>
  <c r="D23" i="8"/>
  <c r="C23" i="8"/>
  <c r="B23" i="8"/>
  <c r="A23" i="8"/>
  <c r="H22" i="8"/>
  <c r="G22" i="8"/>
  <c r="F22" i="8"/>
  <c r="E22" i="8"/>
  <c r="D22" i="8"/>
  <c r="C22" i="8"/>
  <c r="B22" i="8"/>
  <c r="A22" i="8"/>
  <c r="H21" i="8"/>
  <c r="G21" i="8"/>
  <c r="F21" i="8"/>
  <c r="E21" i="8"/>
  <c r="D21" i="8"/>
  <c r="C21" i="8"/>
  <c r="B21" i="8"/>
  <c r="A21" i="8"/>
  <c r="H20" i="8"/>
  <c r="G20" i="8"/>
  <c r="F20" i="8"/>
  <c r="E20" i="8"/>
  <c r="D20" i="8"/>
  <c r="C20" i="8"/>
  <c r="B20" i="8"/>
  <c r="A20" i="8"/>
  <c r="H19" i="8"/>
  <c r="G19" i="8"/>
  <c r="F19" i="8"/>
  <c r="E19" i="8"/>
  <c r="D19" i="8"/>
  <c r="C19" i="8"/>
  <c r="B19" i="8"/>
  <c r="A19" i="8"/>
  <c r="H18" i="8"/>
  <c r="G18" i="8"/>
  <c r="F18" i="8"/>
  <c r="E18" i="8"/>
  <c r="D18" i="8"/>
  <c r="C18" i="8"/>
  <c r="B18" i="8"/>
  <c r="A18" i="8"/>
  <c r="H17" i="8"/>
  <c r="G17" i="8"/>
  <c r="F17" i="8"/>
  <c r="E17" i="8"/>
  <c r="D17" i="8"/>
  <c r="C17" i="8"/>
  <c r="B17" i="8"/>
  <c r="A17" i="8"/>
  <c r="H16" i="8"/>
  <c r="G16" i="8"/>
  <c r="F16" i="8"/>
  <c r="E16" i="8"/>
  <c r="D16" i="8"/>
  <c r="C16" i="8"/>
  <c r="B16" i="8"/>
  <c r="A16" i="8"/>
  <c r="H15" i="8"/>
  <c r="G15" i="8"/>
  <c r="F15" i="8"/>
  <c r="E15" i="8"/>
  <c r="D15" i="8"/>
  <c r="C15" i="8"/>
  <c r="B15" i="8"/>
  <c r="A15" i="8"/>
  <c r="H14" i="8"/>
  <c r="G14" i="8"/>
  <c r="F14" i="8"/>
  <c r="E14" i="8"/>
  <c r="D14" i="8"/>
  <c r="C14" i="8"/>
  <c r="B14" i="8"/>
  <c r="A14" i="8"/>
  <c r="H13" i="8"/>
  <c r="G13" i="8"/>
  <c r="F13" i="8"/>
  <c r="E13" i="8"/>
  <c r="D13" i="8"/>
  <c r="C13" i="8"/>
  <c r="B13" i="8"/>
  <c r="A13" i="8"/>
  <c r="A11" i="8"/>
  <c r="A10" i="8"/>
  <c r="H18" i="7"/>
  <c r="G18" i="7"/>
  <c r="F18" i="7"/>
  <c r="E18" i="7"/>
  <c r="D18" i="7"/>
  <c r="C18" i="7"/>
  <c r="B18" i="7"/>
  <c r="A18" i="7"/>
  <c r="H17" i="7"/>
  <c r="G17" i="7"/>
  <c r="F17" i="7"/>
  <c r="E17" i="7"/>
  <c r="D17" i="7"/>
  <c r="C17" i="7"/>
  <c r="B17" i="7"/>
  <c r="A17" i="7"/>
  <c r="H16" i="7"/>
  <c r="G16" i="7"/>
  <c r="F16" i="7"/>
  <c r="E16" i="7"/>
  <c r="D16" i="7"/>
  <c r="C16" i="7"/>
  <c r="B16" i="7"/>
  <c r="A16" i="7"/>
  <c r="H15" i="7"/>
  <c r="G15" i="7"/>
  <c r="F15" i="7"/>
  <c r="E15" i="7"/>
  <c r="D15" i="7"/>
  <c r="C15" i="7"/>
  <c r="B15" i="7"/>
  <c r="A15" i="7"/>
  <c r="H14" i="7"/>
  <c r="G14" i="7"/>
  <c r="F14" i="7"/>
  <c r="E14" i="7"/>
  <c r="D14" i="7"/>
  <c r="C14" i="7"/>
  <c r="B14" i="7"/>
  <c r="A14" i="7"/>
  <c r="H13" i="7"/>
  <c r="G13" i="7"/>
  <c r="F13" i="7"/>
  <c r="E13" i="7"/>
  <c r="D13" i="7"/>
  <c r="C13" i="7"/>
  <c r="B13" i="7"/>
  <c r="A13" i="7"/>
  <c r="A10" i="7"/>
  <c r="A29" i="6"/>
  <c r="H28" i="6"/>
  <c r="G28" i="6"/>
  <c r="F28" i="6"/>
  <c r="E28" i="6"/>
  <c r="D28" i="6"/>
  <c r="C28" i="6"/>
  <c r="B28" i="6"/>
  <c r="A28" i="6"/>
  <c r="H27" i="6"/>
  <c r="G27" i="6"/>
  <c r="F27" i="6"/>
  <c r="E27" i="6"/>
  <c r="D27" i="6"/>
  <c r="C27" i="6"/>
  <c r="B27" i="6"/>
  <c r="A27" i="6"/>
  <c r="H26" i="6"/>
  <c r="G26" i="6"/>
  <c r="F26" i="6"/>
  <c r="E26" i="6"/>
  <c r="D26" i="6"/>
  <c r="C26" i="6"/>
  <c r="B26" i="6"/>
  <c r="A26" i="6"/>
  <c r="H25" i="6"/>
  <c r="G25" i="6"/>
  <c r="F25" i="6"/>
  <c r="E25" i="6"/>
  <c r="D25" i="6"/>
  <c r="C25" i="6"/>
  <c r="B25" i="6"/>
  <c r="A25" i="6"/>
  <c r="H24" i="6"/>
  <c r="G24" i="6"/>
  <c r="F24" i="6"/>
  <c r="E24" i="6"/>
  <c r="D24" i="6"/>
  <c r="C24" i="6"/>
  <c r="B24" i="6"/>
  <c r="A24" i="6"/>
  <c r="H23" i="6"/>
  <c r="G23" i="6"/>
  <c r="F23" i="6"/>
  <c r="E23" i="6"/>
  <c r="D23" i="6"/>
  <c r="C23" i="6"/>
  <c r="B23" i="6"/>
  <c r="A23" i="6"/>
  <c r="H22" i="6"/>
  <c r="G22" i="6"/>
  <c r="F22" i="6"/>
  <c r="E22" i="6"/>
  <c r="D22" i="6"/>
  <c r="C22" i="6"/>
  <c r="B22" i="6"/>
  <c r="A22" i="6"/>
  <c r="H21" i="6"/>
  <c r="G21" i="6"/>
  <c r="F21" i="6"/>
  <c r="E21" i="6"/>
  <c r="D21" i="6"/>
  <c r="C21" i="6"/>
  <c r="B21" i="6"/>
  <c r="A21" i="6"/>
  <c r="H20" i="6"/>
  <c r="G20" i="6"/>
  <c r="F20" i="6"/>
  <c r="E20" i="6"/>
  <c r="D20" i="6"/>
  <c r="C20" i="6"/>
  <c r="B20" i="6"/>
  <c r="A20" i="6"/>
  <c r="H19" i="6"/>
  <c r="G19" i="6"/>
  <c r="F19" i="6"/>
  <c r="E19" i="6"/>
  <c r="D19" i="6"/>
  <c r="C19" i="6"/>
  <c r="B19" i="6"/>
  <c r="A19" i="6"/>
  <c r="H18" i="6"/>
  <c r="G18" i="6"/>
  <c r="F18" i="6"/>
  <c r="E18" i="6"/>
  <c r="D18" i="6"/>
  <c r="C18" i="6"/>
  <c r="B18" i="6"/>
  <c r="A18" i="6"/>
  <c r="H17" i="6"/>
  <c r="G17" i="6"/>
  <c r="F17" i="6"/>
  <c r="E17" i="6"/>
  <c r="D17" i="6"/>
  <c r="C17" i="6"/>
  <c r="B17" i="6"/>
  <c r="A17" i="6"/>
  <c r="H16" i="6"/>
  <c r="G16" i="6"/>
  <c r="F16" i="6"/>
  <c r="E16" i="6"/>
  <c r="D16" i="6"/>
  <c r="C16" i="6"/>
  <c r="B16" i="6"/>
  <c r="A16" i="6"/>
  <c r="H15" i="6"/>
  <c r="G15" i="6"/>
  <c r="F15" i="6"/>
  <c r="E15" i="6"/>
  <c r="D15" i="6"/>
  <c r="C15" i="6"/>
  <c r="B15" i="6"/>
  <c r="A15" i="6"/>
  <c r="H14" i="6"/>
  <c r="G14" i="6"/>
  <c r="F14" i="6"/>
  <c r="E14" i="6"/>
  <c r="D14" i="6"/>
  <c r="C14" i="6"/>
  <c r="B14" i="6"/>
  <c r="A14" i="6"/>
  <c r="H13" i="6"/>
  <c r="G13" i="6"/>
  <c r="F13" i="6"/>
  <c r="E13" i="6"/>
  <c r="D13" i="6"/>
  <c r="C13" i="6"/>
  <c r="B13" i="6"/>
  <c r="A13" i="6"/>
  <c r="A10" i="6"/>
  <c r="H999" i="5"/>
  <c r="G999" i="5"/>
  <c r="F999" i="5"/>
  <c r="E999" i="5"/>
  <c r="D999" i="5"/>
  <c r="C999" i="5"/>
  <c r="A999" i="5"/>
  <c r="H998" i="5"/>
  <c r="G998" i="5"/>
  <c r="F998" i="5"/>
  <c r="E998" i="5"/>
  <c r="D998" i="5"/>
  <c r="C998" i="5"/>
  <c r="A998" i="5"/>
  <c r="H997" i="5"/>
  <c r="G997" i="5"/>
  <c r="F997" i="5"/>
  <c r="E997" i="5"/>
  <c r="D997" i="5"/>
  <c r="C997" i="5"/>
  <c r="A997" i="5"/>
  <c r="H996" i="5"/>
  <c r="G996" i="5"/>
  <c r="F996" i="5"/>
  <c r="E996" i="5"/>
  <c r="D996" i="5"/>
  <c r="C996" i="5"/>
  <c r="A996" i="5"/>
  <c r="H995" i="5"/>
  <c r="G995" i="5"/>
  <c r="F995" i="5"/>
  <c r="E995" i="5"/>
  <c r="D995" i="5"/>
  <c r="C995" i="5"/>
  <c r="A995" i="5"/>
  <c r="H994" i="5"/>
  <c r="G994" i="5"/>
  <c r="F994" i="5"/>
  <c r="E994" i="5"/>
  <c r="D994" i="5"/>
  <c r="C994" i="5"/>
  <c r="A994" i="5"/>
  <c r="H993" i="5"/>
  <c r="G993" i="5"/>
  <c r="F993" i="5"/>
  <c r="E993" i="5"/>
  <c r="D993" i="5"/>
  <c r="C993" i="5"/>
  <c r="A993" i="5"/>
  <c r="H992" i="5"/>
  <c r="G992" i="5"/>
  <c r="F992" i="5"/>
  <c r="E992" i="5"/>
  <c r="D992" i="5"/>
  <c r="C992" i="5"/>
  <c r="A992" i="5"/>
  <c r="H991" i="5"/>
  <c r="G991" i="5"/>
  <c r="F991" i="5"/>
  <c r="E991" i="5"/>
  <c r="D991" i="5"/>
  <c r="C991" i="5"/>
  <c r="A991" i="5"/>
  <c r="H990" i="5"/>
  <c r="G990" i="5"/>
  <c r="F990" i="5"/>
  <c r="E990" i="5"/>
  <c r="D990" i="5"/>
  <c r="C990" i="5"/>
  <c r="A990" i="5"/>
  <c r="H989" i="5"/>
  <c r="G989" i="5"/>
  <c r="F989" i="5"/>
  <c r="E989" i="5"/>
  <c r="D989" i="5"/>
  <c r="C989" i="5"/>
  <c r="A989" i="5"/>
  <c r="H988" i="5"/>
  <c r="G988" i="5"/>
  <c r="F988" i="5"/>
  <c r="E988" i="5"/>
  <c r="D988" i="5"/>
  <c r="C988" i="5"/>
  <c r="A988" i="5"/>
  <c r="H987" i="5"/>
  <c r="G987" i="5"/>
  <c r="F987" i="5"/>
  <c r="E987" i="5"/>
  <c r="D987" i="5"/>
  <c r="C987" i="5"/>
  <c r="A987" i="5"/>
  <c r="H986" i="5"/>
  <c r="G986" i="5"/>
  <c r="F986" i="5"/>
  <c r="E986" i="5"/>
  <c r="D986" i="5"/>
  <c r="C986" i="5"/>
  <c r="A986" i="5"/>
  <c r="H985" i="5"/>
  <c r="G985" i="5"/>
  <c r="F985" i="5"/>
  <c r="E985" i="5"/>
  <c r="D985" i="5"/>
  <c r="C985" i="5"/>
  <c r="A985" i="5"/>
  <c r="H984" i="5"/>
  <c r="G984" i="5"/>
  <c r="F984" i="5"/>
  <c r="E984" i="5"/>
  <c r="D984" i="5"/>
  <c r="C984" i="5"/>
  <c r="A984" i="5"/>
  <c r="H983" i="5"/>
  <c r="G983" i="5"/>
  <c r="F983" i="5"/>
  <c r="E983" i="5"/>
  <c r="D983" i="5"/>
  <c r="C983" i="5"/>
  <c r="A983" i="5"/>
  <c r="H982" i="5"/>
  <c r="G982" i="5"/>
  <c r="F982" i="5"/>
  <c r="E982" i="5"/>
  <c r="D982" i="5"/>
  <c r="C982" i="5"/>
  <c r="A982" i="5"/>
  <c r="H981" i="5"/>
  <c r="G981" i="5"/>
  <c r="F981" i="5"/>
  <c r="E981" i="5"/>
  <c r="D981" i="5"/>
  <c r="C981" i="5"/>
  <c r="A981" i="5"/>
  <c r="H980" i="5"/>
  <c r="G980" i="5"/>
  <c r="F980" i="5"/>
  <c r="E980" i="5"/>
  <c r="D980" i="5"/>
  <c r="C980" i="5"/>
  <c r="A980" i="5"/>
  <c r="H979" i="5"/>
  <c r="G979" i="5"/>
  <c r="F979" i="5"/>
  <c r="E979" i="5"/>
  <c r="D979" i="5"/>
  <c r="C979" i="5"/>
  <c r="A979" i="5"/>
  <c r="H978" i="5"/>
  <c r="G978" i="5"/>
  <c r="F978" i="5"/>
  <c r="E978" i="5"/>
  <c r="D978" i="5"/>
  <c r="C978" i="5"/>
  <c r="A978" i="5"/>
  <c r="H977" i="5"/>
  <c r="G977" i="5"/>
  <c r="F977" i="5"/>
  <c r="E977" i="5"/>
  <c r="D977" i="5"/>
  <c r="C977" i="5"/>
  <c r="A977" i="5"/>
  <c r="H976" i="5"/>
  <c r="G976" i="5"/>
  <c r="F976" i="5"/>
  <c r="E976" i="5"/>
  <c r="D976" i="5"/>
  <c r="C976" i="5"/>
  <c r="A976" i="5"/>
  <c r="H975" i="5"/>
  <c r="G975" i="5"/>
  <c r="F975" i="5"/>
  <c r="E975" i="5"/>
  <c r="D975" i="5"/>
  <c r="C975" i="5"/>
  <c r="A975" i="5"/>
  <c r="H974" i="5"/>
  <c r="G974" i="5"/>
  <c r="F974" i="5"/>
  <c r="E974" i="5"/>
  <c r="D974" i="5"/>
  <c r="C974" i="5"/>
  <c r="A974" i="5"/>
  <c r="H973" i="5"/>
  <c r="G973" i="5"/>
  <c r="F973" i="5"/>
  <c r="E973" i="5"/>
  <c r="D973" i="5"/>
  <c r="C973" i="5"/>
  <c r="A973" i="5"/>
  <c r="H972" i="5"/>
  <c r="G972" i="5"/>
  <c r="F972" i="5"/>
  <c r="E972" i="5"/>
  <c r="D972" i="5"/>
  <c r="C972" i="5"/>
  <c r="A972" i="5"/>
  <c r="H971" i="5"/>
  <c r="G971" i="5"/>
  <c r="F971" i="5"/>
  <c r="E971" i="5"/>
  <c r="D971" i="5"/>
  <c r="C971" i="5"/>
  <c r="A971" i="5"/>
  <c r="H970" i="5"/>
  <c r="G970" i="5"/>
  <c r="F970" i="5"/>
  <c r="E970" i="5"/>
  <c r="D970" i="5"/>
  <c r="C970" i="5"/>
  <c r="A970" i="5"/>
  <c r="H969" i="5"/>
  <c r="G969" i="5"/>
  <c r="F969" i="5"/>
  <c r="E969" i="5"/>
  <c r="D969" i="5"/>
  <c r="C969" i="5"/>
  <c r="A969" i="5"/>
  <c r="H968" i="5"/>
  <c r="G968" i="5"/>
  <c r="F968" i="5"/>
  <c r="E968" i="5"/>
  <c r="D968" i="5"/>
  <c r="C968" i="5"/>
  <c r="A968" i="5"/>
  <c r="H967" i="5"/>
  <c r="G967" i="5"/>
  <c r="F967" i="5"/>
  <c r="E967" i="5"/>
  <c r="D967" i="5"/>
  <c r="C967" i="5"/>
  <c r="A967" i="5"/>
  <c r="H966" i="5"/>
  <c r="G966" i="5"/>
  <c r="F966" i="5"/>
  <c r="E966" i="5"/>
  <c r="D966" i="5"/>
  <c r="C966" i="5"/>
  <c r="A966" i="5"/>
  <c r="H965" i="5"/>
  <c r="G965" i="5"/>
  <c r="F965" i="5"/>
  <c r="E965" i="5"/>
  <c r="D965" i="5"/>
  <c r="C965" i="5"/>
  <c r="A965" i="5"/>
  <c r="H964" i="5"/>
  <c r="G964" i="5"/>
  <c r="F964" i="5"/>
  <c r="E964" i="5"/>
  <c r="D964" i="5"/>
  <c r="C964" i="5"/>
  <c r="A964" i="5"/>
  <c r="H963" i="5"/>
  <c r="G963" i="5"/>
  <c r="F963" i="5"/>
  <c r="E963" i="5"/>
  <c r="D963" i="5"/>
  <c r="C963" i="5"/>
  <c r="A963" i="5"/>
  <c r="H962" i="5"/>
  <c r="G962" i="5"/>
  <c r="F962" i="5"/>
  <c r="E962" i="5"/>
  <c r="D962" i="5"/>
  <c r="C962" i="5"/>
  <c r="A962" i="5"/>
  <c r="H961" i="5"/>
  <c r="G961" i="5"/>
  <c r="F961" i="5"/>
  <c r="E961" i="5"/>
  <c r="D961" i="5"/>
  <c r="C961" i="5"/>
  <c r="A961" i="5"/>
  <c r="H960" i="5"/>
  <c r="G960" i="5"/>
  <c r="F960" i="5"/>
  <c r="E960" i="5"/>
  <c r="D960" i="5"/>
  <c r="C960" i="5"/>
  <c r="A960" i="5"/>
  <c r="H959" i="5"/>
  <c r="G959" i="5"/>
  <c r="F959" i="5"/>
  <c r="E959" i="5"/>
  <c r="D959" i="5"/>
  <c r="C959" i="5"/>
  <c r="A959" i="5"/>
  <c r="H958" i="5"/>
  <c r="G958" i="5"/>
  <c r="F958" i="5"/>
  <c r="E958" i="5"/>
  <c r="D958" i="5"/>
  <c r="C958" i="5"/>
  <c r="A958" i="5"/>
  <c r="H957" i="5"/>
  <c r="G957" i="5"/>
  <c r="F957" i="5"/>
  <c r="E957" i="5"/>
  <c r="D957" i="5"/>
  <c r="C957" i="5"/>
  <c r="A957" i="5"/>
  <c r="H956" i="5"/>
  <c r="G956" i="5"/>
  <c r="F956" i="5"/>
  <c r="E956" i="5"/>
  <c r="D956" i="5"/>
  <c r="C956" i="5"/>
  <c r="A956" i="5"/>
  <c r="H955" i="5"/>
  <c r="G955" i="5"/>
  <c r="F955" i="5"/>
  <c r="E955" i="5"/>
  <c r="D955" i="5"/>
  <c r="C955" i="5"/>
  <c r="A955" i="5"/>
  <c r="H954" i="5"/>
  <c r="G954" i="5"/>
  <c r="F954" i="5"/>
  <c r="E954" i="5"/>
  <c r="D954" i="5"/>
  <c r="C954" i="5"/>
  <c r="A954" i="5"/>
  <c r="H953" i="5"/>
  <c r="G953" i="5"/>
  <c r="F953" i="5"/>
  <c r="E953" i="5"/>
  <c r="D953" i="5"/>
  <c r="C953" i="5"/>
  <c r="A953" i="5"/>
  <c r="H952" i="5"/>
  <c r="G952" i="5"/>
  <c r="F952" i="5"/>
  <c r="E952" i="5"/>
  <c r="D952" i="5"/>
  <c r="C952" i="5"/>
  <c r="A952" i="5"/>
  <c r="H951" i="5"/>
  <c r="G951" i="5"/>
  <c r="F951" i="5"/>
  <c r="E951" i="5"/>
  <c r="D951" i="5"/>
  <c r="C951" i="5"/>
  <c r="A951" i="5"/>
  <c r="H950" i="5"/>
  <c r="G950" i="5"/>
  <c r="F950" i="5"/>
  <c r="E950" i="5"/>
  <c r="D950" i="5"/>
  <c r="C950" i="5"/>
  <c r="A950" i="5"/>
  <c r="H949" i="5"/>
  <c r="G949" i="5"/>
  <c r="F949" i="5"/>
  <c r="E949" i="5"/>
  <c r="D949" i="5"/>
  <c r="C949" i="5"/>
  <c r="A949" i="5"/>
  <c r="H948" i="5"/>
  <c r="G948" i="5"/>
  <c r="F948" i="5"/>
  <c r="E948" i="5"/>
  <c r="D948" i="5"/>
  <c r="C948" i="5"/>
  <c r="A948" i="5"/>
  <c r="H947" i="5"/>
  <c r="G947" i="5"/>
  <c r="F947" i="5"/>
  <c r="E947" i="5"/>
  <c r="D947" i="5"/>
  <c r="C947" i="5"/>
  <c r="A947" i="5"/>
  <c r="H946" i="5"/>
  <c r="G946" i="5"/>
  <c r="F946" i="5"/>
  <c r="E946" i="5"/>
  <c r="D946" i="5"/>
  <c r="C946" i="5"/>
  <c r="A946" i="5"/>
  <c r="H945" i="5"/>
  <c r="G945" i="5"/>
  <c r="F945" i="5"/>
  <c r="E945" i="5"/>
  <c r="D945" i="5"/>
  <c r="C945" i="5"/>
  <c r="A945" i="5"/>
  <c r="H944" i="5"/>
  <c r="G944" i="5"/>
  <c r="F944" i="5"/>
  <c r="E944" i="5"/>
  <c r="D944" i="5"/>
  <c r="C944" i="5"/>
  <c r="A944" i="5"/>
  <c r="H943" i="5"/>
  <c r="G943" i="5"/>
  <c r="F943" i="5"/>
  <c r="E943" i="5"/>
  <c r="D943" i="5"/>
  <c r="C943" i="5"/>
  <c r="A943" i="5"/>
  <c r="H942" i="5"/>
  <c r="G942" i="5"/>
  <c r="F942" i="5"/>
  <c r="E942" i="5"/>
  <c r="D942" i="5"/>
  <c r="C942" i="5"/>
  <c r="A942" i="5"/>
  <c r="H941" i="5"/>
  <c r="G941" i="5"/>
  <c r="F941" i="5"/>
  <c r="E941" i="5"/>
  <c r="D941" i="5"/>
  <c r="C941" i="5"/>
  <c r="A941" i="5"/>
  <c r="H940" i="5"/>
  <c r="G940" i="5"/>
  <c r="F940" i="5"/>
  <c r="E940" i="5"/>
  <c r="D940" i="5"/>
  <c r="C940" i="5"/>
  <c r="A940" i="5"/>
  <c r="H939" i="5"/>
  <c r="G939" i="5"/>
  <c r="F939" i="5"/>
  <c r="E939" i="5"/>
  <c r="D939" i="5"/>
  <c r="C939" i="5"/>
  <c r="A939" i="5"/>
  <c r="H938" i="5"/>
  <c r="G938" i="5"/>
  <c r="F938" i="5"/>
  <c r="E938" i="5"/>
  <c r="D938" i="5"/>
  <c r="C938" i="5"/>
  <c r="A938" i="5"/>
  <c r="H937" i="5"/>
  <c r="G937" i="5"/>
  <c r="F937" i="5"/>
  <c r="E937" i="5"/>
  <c r="D937" i="5"/>
  <c r="C937" i="5"/>
  <c r="A937" i="5"/>
  <c r="H936" i="5"/>
  <c r="G936" i="5"/>
  <c r="F936" i="5"/>
  <c r="E936" i="5"/>
  <c r="D936" i="5"/>
  <c r="C936" i="5"/>
  <c r="A936" i="5"/>
  <c r="H935" i="5"/>
  <c r="G935" i="5"/>
  <c r="F935" i="5"/>
  <c r="E935" i="5"/>
  <c r="D935" i="5"/>
  <c r="C935" i="5"/>
  <c r="A935" i="5"/>
  <c r="H934" i="5"/>
  <c r="G934" i="5"/>
  <c r="F934" i="5"/>
  <c r="E934" i="5"/>
  <c r="D934" i="5"/>
  <c r="C934" i="5"/>
  <c r="A934" i="5"/>
  <c r="H933" i="5"/>
  <c r="G933" i="5"/>
  <c r="F933" i="5"/>
  <c r="E933" i="5"/>
  <c r="D933" i="5"/>
  <c r="C933" i="5"/>
  <c r="A933" i="5"/>
  <c r="H932" i="5"/>
  <c r="G932" i="5"/>
  <c r="F932" i="5"/>
  <c r="E932" i="5"/>
  <c r="D932" i="5"/>
  <c r="C932" i="5"/>
  <c r="A932" i="5"/>
  <c r="H931" i="5"/>
  <c r="G931" i="5"/>
  <c r="F931" i="5"/>
  <c r="E931" i="5"/>
  <c r="D931" i="5"/>
  <c r="C931" i="5"/>
  <c r="A931" i="5"/>
  <c r="H930" i="5"/>
  <c r="G930" i="5"/>
  <c r="F930" i="5"/>
  <c r="E930" i="5"/>
  <c r="D930" i="5"/>
  <c r="C930" i="5"/>
  <c r="A930" i="5"/>
  <c r="H929" i="5"/>
  <c r="G929" i="5"/>
  <c r="F929" i="5"/>
  <c r="E929" i="5"/>
  <c r="D929" i="5"/>
  <c r="C929" i="5"/>
  <c r="A929" i="5"/>
  <c r="H928" i="5"/>
  <c r="G928" i="5"/>
  <c r="F928" i="5"/>
  <c r="E928" i="5"/>
  <c r="D928" i="5"/>
  <c r="C928" i="5"/>
  <c r="A928" i="5"/>
  <c r="H927" i="5"/>
  <c r="G927" i="5"/>
  <c r="F927" i="5"/>
  <c r="E927" i="5"/>
  <c r="D927" i="5"/>
  <c r="C927" i="5"/>
  <c r="A927" i="5"/>
  <c r="H926" i="5"/>
  <c r="G926" i="5"/>
  <c r="F926" i="5"/>
  <c r="E926" i="5"/>
  <c r="D926" i="5"/>
  <c r="C926" i="5"/>
  <c r="A926" i="5"/>
  <c r="H925" i="5"/>
  <c r="G925" i="5"/>
  <c r="F925" i="5"/>
  <c r="E925" i="5"/>
  <c r="D925" i="5"/>
  <c r="C925" i="5"/>
  <c r="A925" i="5"/>
  <c r="H924" i="5"/>
  <c r="G924" i="5"/>
  <c r="F924" i="5"/>
  <c r="E924" i="5"/>
  <c r="D924" i="5"/>
  <c r="C924" i="5"/>
  <c r="A924" i="5"/>
  <c r="H923" i="5"/>
  <c r="G923" i="5"/>
  <c r="F923" i="5"/>
  <c r="E923" i="5"/>
  <c r="D923" i="5"/>
  <c r="C923" i="5"/>
  <c r="A923" i="5"/>
  <c r="H922" i="5"/>
  <c r="G922" i="5"/>
  <c r="F922" i="5"/>
  <c r="E922" i="5"/>
  <c r="D922" i="5"/>
  <c r="C922" i="5"/>
  <c r="A922" i="5"/>
  <c r="H921" i="5"/>
  <c r="G921" i="5"/>
  <c r="F921" i="5"/>
  <c r="E921" i="5"/>
  <c r="D921" i="5"/>
  <c r="C921" i="5"/>
  <c r="A921" i="5"/>
  <c r="H920" i="5"/>
  <c r="G920" i="5"/>
  <c r="F920" i="5"/>
  <c r="E920" i="5"/>
  <c r="D920" i="5"/>
  <c r="C920" i="5"/>
  <c r="A920" i="5"/>
  <c r="H919" i="5"/>
  <c r="G919" i="5"/>
  <c r="F919" i="5"/>
  <c r="E919" i="5"/>
  <c r="D919" i="5"/>
  <c r="C919" i="5"/>
  <c r="A919" i="5"/>
  <c r="H918" i="5"/>
  <c r="G918" i="5"/>
  <c r="F918" i="5"/>
  <c r="E918" i="5"/>
  <c r="D918" i="5"/>
  <c r="C918" i="5"/>
  <c r="A918" i="5"/>
  <c r="H917" i="5"/>
  <c r="G917" i="5"/>
  <c r="F917" i="5"/>
  <c r="E917" i="5"/>
  <c r="D917" i="5"/>
  <c r="C917" i="5"/>
  <c r="A917" i="5"/>
  <c r="H916" i="5"/>
  <c r="G916" i="5"/>
  <c r="F916" i="5"/>
  <c r="E916" i="5"/>
  <c r="D916" i="5"/>
  <c r="C916" i="5"/>
  <c r="A916" i="5"/>
  <c r="H915" i="5"/>
  <c r="G915" i="5"/>
  <c r="F915" i="5"/>
  <c r="E915" i="5"/>
  <c r="D915" i="5"/>
  <c r="C915" i="5"/>
  <c r="A915" i="5"/>
  <c r="H914" i="5"/>
  <c r="G914" i="5"/>
  <c r="F914" i="5"/>
  <c r="E914" i="5"/>
  <c r="D914" i="5"/>
  <c r="C914" i="5"/>
  <c r="A914" i="5"/>
  <c r="H913" i="5"/>
  <c r="G913" i="5"/>
  <c r="F913" i="5"/>
  <c r="E913" i="5"/>
  <c r="D913" i="5"/>
  <c r="C913" i="5"/>
  <c r="A913" i="5"/>
  <c r="H912" i="5"/>
  <c r="G912" i="5"/>
  <c r="F912" i="5"/>
  <c r="E912" i="5"/>
  <c r="D912" i="5"/>
  <c r="C912" i="5"/>
  <c r="A912" i="5"/>
  <c r="H911" i="5"/>
  <c r="G911" i="5"/>
  <c r="F911" i="5"/>
  <c r="E911" i="5"/>
  <c r="D911" i="5"/>
  <c r="C911" i="5"/>
  <c r="A911" i="5"/>
  <c r="H910" i="5"/>
  <c r="G910" i="5"/>
  <c r="F910" i="5"/>
  <c r="E910" i="5"/>
  <c r="D910" i="5"/>
  <c r="C910" i="5"/>
  <c r="A910" i="5"/>
  <c r="H909" i="5"/>
  <c r="G909" i="5"/>
  <c r="F909" i="5"/>
  <c r="E909" i="5"/>
  <c r="D909" i="5"/>
  <c r="C909" i="5"/>
  <c r="A909" i="5"/>
  <c r="H908" i="5"/>
  <c r="G908" i="5"/>
  <c r="F908" i="5"/>
  <c r="E908" i="5"/>
  <c r="D908" i="5"/>
  <c r="C908" i="5"/>
  <c r="A908" i="5"/>
  <c r="H907" i="5"/>
  <c r="G907" i="5"/>
  <c r="F907" i="5"/>
  <c r="E907" i="5"/>
  <c r="D907" i="5"/>
  <c r="C907" i="5"/>
  <c r="A907" i="5"/>
  <c r="H906" i="5"/>
  <c r="G906" i="5"/>
  <c r="F906" i="5"/>
  <c r="E906" i="5"/>
  <c r="D906" i="5"/>
  <c r="C906" i="5"/>
  <c r="A906" i="5"/>
  <c r="H905" i="5"/>
  <c r="G905" i="5"/>
  <c r="F905" i="5"/>
  <c r="E905" i="5"/>
  <c r="D905" i="5"/>
  <c r="C905" i="5"/>
  <c r="A905" i="5"/>
  <c r="H904" i="5"/>
  <c r="G904" i="5"/>
  <c r="F904" i="5"/>
  <c r="E904" i="5"/>
  <c r="D904" i="5"/>
  <c r="C904" i="5"/>
  <c r="A904" i="5"/>
  <c r="H903" i="5"/>
  <c r="G903" i="5"/>
  <c r="F903" i="5"/>
  <c r="E903" i="5"/>
  <c r="D903" i="5"/>
  <c r="C903" i="5"/>
  <c r="A903" i="5"/>
  <c r="H902" i="5"/>
  <c r="G902" i="5"/>
  <c r="F902" i="5"/>
  <c r="E902" i="5"/>
  <c r="D902" i="5"/>
  <c r="C902" i="5"/>
  <c r="A902" i="5"/>
  <c r="H901" i="5"/>
  <c r="G901" i="5"/>
  <c r="F901" i="5"/>
  <c r="E901" i="5"/>
  <c r="D901" i="5"/>
  <c r="C901" i="5"/>
  <c r="A901" i="5"/>
  <c r="H900" i="5"/>
  <c r="G900" i="5"/>
  <c r="F900" i="5"/>
  <c r="E900" i="5"/>
  <c r="D900" i="5"/>
  <c r="C900" i="5"/>
  <c r="A900" i="5"/>
  <c r="H899" i="5"/>
  <c r="G899" i="5"/>
  <c r="F899" i="5"/>
  <c r="E899" i="5"/>
  <c r="D899" i="5"/>
  <c r="C899" i="5"/>
  <c r="A899" i="5"/>
  <c r="H898" i="5"/>
  <c r="G898" i="5"/>
  <c r="F898" i="5"/>
  <c r="E898" i="5"/>
  <c r="D898" i="5"/>
  <c r="C898" i="5"/>
  <c r="A898" i="5"/>
  <c r="H897" i="5"/>
  <c r="G897" i="5"/>
  <c r="F897" i="5"/>
  <c r="E897" i="5"/>
  <c r="D897" i="5"/>
  <c r="C897" i="5"/>
  <c r="A897" i="5"/>
  <c r="H896" i="5"/>
  <c r="G896" i="5"/>
  <c r="F896" i="5"/>
  <c r="E896" i="5"/>
  <c r="D896" i="5"/>
  <c r="C896" i="5"/>
  <c r="A896" i="5"/>
  <c r="H895" i="5"/>
  <c r="G895" i="5"/>
  <c r="F895" i="5"/>
  <c r="E895" i="5"/>
  <c r="D895" i="5"/>
  <c r="C895" i="5"/>
  <c r="A895" i="5"/>
  <c r="H894" i="5"/>
  <c r="G894" i="5"/>
  <c r="F894" i="5"/>
  <c r="E894" i="5"/>
  <c r="D894" i="5"/>
  <c r="C894" i="5"/>
  <c r="A894" i="5"/>
  <c r="H893" i="5"/>
  <c r="G893" i="5"/>
  <c r="F893" i="5"/>
  <c r="E893" i="5"/>
  <c r="D893" i="5"/>
  <c r="C893" i="5"/>
  <c r="A893" i="5"/>
  <c r="H892" i="5"/>
  <c r="G892" i="5"/>
  <c r="F892" i="5"/>
  <c r="E892" i="5"/>
  <c r="D892" i="5"/>
  <c r="C892" i="5"/>
  <c r="A892" i="5"/>
  <c r="H891" i="5"/>
  <c r="G891" i="5"/>
  <c r="F891" i="5"/>
  <c r="E891" i="5"/>
  <c r="D891" i="5"/>
  <c r="C891" i="5"/>
  <c r="A891" i="5"/>
  <c r="H890" i="5"/>
  <c r="G890" i="5"/>
  <c r="F890" i="5"/>
  <c r="E890" i="5"/>
  <c r="D890" i="5"/>
  <c r="C890" i="5"/>
  <c r="A890" i="5"/>
  <c r="H889" i="5"/>
  <c r="G889" i="5"/>
  <c r="F889" i="5"/>
  <c r="E889" i="5"/>
  <c r="D889" i="5"/>
  <c r="C889" i="5"/>
  <c r="A889" i="5"/>
  <c r="H888" i="5"/>
  <c r="G888" i="5"/>
  <c r="F888" i="5"/>
  <c r="E888" i="5"/>
  <c r="D888" i="5"/>
  <c r="C888" i="5"/>
  <c r="A888" i="5"/>
  <c r="H887" i="5"/>
  <c r="G887" i="5"/>
  <c r="F887" i="5"/>
  <c r="E887" i="5"/>
  <c r="D887" i="5"/>
  <c r="C887" i="5"/>
  <c r="A887" i="5"/>
  <c r="H886" i="5"/>
  <c r="G886" i="5"/>
  <c r="F886" i="5"/>
  <c r="E886" i="5"/>
  <c r="D886" i="5"/>
  <c r="C886" i="5"/>
  <c r="A886" i="5"/>
  <c r="H885" i="5"/>
  <c r="G885" i="5"/>
  <c r="F885" i="5"/>
  <c r="E885" i="5"/>
  <c r="D885" i="5"/>
  <c r="C885" i="5"/>
  <c r="A885" i="5"/>
  <c r="H884" i="5"/>
  <c r="G884" i="5"/>
  <c r="F884" i="5"/>
  <c r="E884" i="5"/>
  <c r="D884" i="5"/>
  <c r="C884" i="5"/>
  <c r="A884" i="5"/>
  <c r="H883" i="5"/>
  <c r="G883" i="5"/>
  <c r="F883" i="5"/>
  <c r="E883" i="5"/>
  <c r="D883" i="5"/>
  <c r="C883" i="5"/>
  <c r="A883" i="5"/>
  <c r="H882" i="5"/>
  <c r="G882" i="5"/>
  <c r="F882" i="5"/>
  <c r="E882" i="5"/>
  <c r="D882" i="5"/>
  <c r="C882" i="5"/>
  <c r="A882" i="5"/>
  <c r="H881" i="5"/>
  <c r="G881" i="5"/>
  <c r="F881" i="5"/>
  <c r="E881" i="5"/>
  <c r="D881" i="5"/>
  <c r="C881" i="5"/>
  <c r="A881" i="5"/>
  <c r="H880" i="5"/>
  <c r="G880" i="5"/>
  <c r="F880" i="5"/>
  <c r="E880" i="5"/>
  <c r="D880" i="5"/>
  <c r="C880" i="5"/>
  <c r="A880" i="5"/>
  <c r="H879" i="5"/>
  <c r="G879" i="5"/>
  <c r="F879" i="5"/>
  <c r="E879" i="5"/>
  <c r="D879" i="5"/>
  <c r="C879" i="5"/>
  <c r="A879" i="5"/>
  <c r="H878" i="5"/>
  <c r="G878" i="5"/>
  <c r="F878" i="5"/>
  <c r="E878" i="5"/>
  <c r="D878" i="5"/>
  <c r="C878" i="5"/>
  <c r="A878" i="5"/>
  <c r="H877" i="5"/>
  <c r="G877" i="5"/>
  <c r="F877" i="5"/>
  <c r="E877" i="5"/>
  <c r="D877" i="5"/>
  <c r="C877" i="5"/>
  <c r="A877" i="5"/>
  <c r="H876" i="5"/>
  <c r="G876" i="5"/>
  <c r="F876" i="5"/>
  <c r="E876" i="5"/>
  <c r="D876" i="5"/>
  <c r="C876" i="5"/>
  <c r="A876" i="5"/>
  <c r="H875" i="5"/>
  <c r="G875" i="5"/>
  <c r="F875" i="5"/>
  <c r="E875" i="5"/>
  <c r="D875" i="5"/>
  <c r="C875" i="5"/>
  <c r="A875" i="5"/>
  <c r="H874" i="5"/>
  <c r="G874" i="5"/>
  <c r="F874" i="5"/>
  <c r="E874" i="5"/>
  <c r="D874" i="5"/>
  <c r="C874" i="5"/>
  <c r="A874" i="5"/>
  <c r="H873" i="5"/>
  <c r="G873" i="5"/>
  <c r="F873" i="5"/>
  <c r="E873" i="5"/>
  <c r="D873" i="5"/>
  <c r="C873" i="5"/>
  <c r="A873" i="5"/>
  <c r="H872" i="5"/>
  <c r="G872" i="5"/>
  <c r="F872" i="5"/>
  <c r="E872" i="5"/>
  <c r="D872" i="5"/>
  <c r="C872" i="5"/>
  <c r="A872" i="5"/>
  <c r="H871" i="5"/>
  <c r="G871" i="5"/>
  <c r="F871" i="5"/>
  <c r="E871" i="5"/>
  <c r="D871" i="5"/>
  <c r="C871" i="5"/>
  <c r="A871" i="5"/>
  <c r="H870" i="5"/>
  <c r="G870" i="5"/>
  <c r="F870" i="5"/>
  <c r="E870" i="5"/>
  <c r="D870" i="5"/>
  <c r="C870" i="5"/>
  <c r="A870" i="5"/>
  <c r="H869" i="5"/>
  <c r="G869" i="5"/>
  <c r="F869" i="5"/>
  <c r="E869" i="5"/>
  <c r="D869" i="5"/>
  <c r="C869" i="5"/>
  <c r="A869" i="5"/>
  <c r="H868" i="5"/>
  <c r="G868" i="5"/>
  <c r="F868" i="5"/>
  <c r="E868" i="5"/>
  <c r="D868" i="5"/>
  <c r="C868" i="5"/>
  <c r="A868" i="5"/>
  <c r="H867" i="5"/>
  <c r="G867" i="5"/>
  <c r="F867" i="5"/>
  <c r="E867" i="5"/>
  <c r="D867" i="5"/>
  <c r="C867" i="5"/>
  <c r="A867" i="5"/>
  <c r="H866" i="5"/>
  <c r="G866" i="5"/>
  <c r="F866" i="5"/>
  <c r="E866" i="5"/>
  <c r="D866" i="5"/>
  <c r="C866" i="5"/>
  <c r="A866" i="5"/>
  <c r="H865" i="5"/>
  <c r="G865" i="5"/>
  <c r="F865" i="5"/>
  <c r="E865" i="5"/>
  <c r="D865" i="5"/>
  <c r="C865" i="5"/>
  <c r="A865" i="5"/>
  <c r="H864" i="5"/>
  <c r="G864" i="5"/>
  <c r="F864" i="5"/>
  <c r="E864" i="5"/>
  <c r="D864" i="5"/>
  <c r="C864" i="5"/>
  <c r="A864" i="5"/>
  <c r="H863" i="5"/>
  <c r="G863" i="5"/>
  <c r="F863" i="5"/>
  <c r="E863" i="5"/>
  <c r="D863" i="5"/>
  <c r="C863" i="5"/>
  <c r="A863" i="5"/>
  <c r="H862" i="5"/>
  <c r="G862" i="5"/>
  <c r="F862" i="5"/>
  <c r="E862" i="5"/>
  <c r="D862" i="5"/>
  <c r="C862" i="5"/>
  <c r="A862" i="5"/>
  <c r="H861" i="5"/>
  <c r="G861" i="5"/>
  <c r="F861" i="5"/>
  <c r="E861" i="5"/>
  <c r="D861" i="5"/>
  <c r="C861" i="5"/>
  <c r="A861" i="5"/>
  <c r="H860" i="5"/>
  <c r="G860" i="5"/>
  <c r="F860" i="5"/>
  <c r="E860" i="5"/>
  <c r="D860" i="5"/>
  <c r="C860" i="5"/>
  <c r="A860" i="5"/>
  <c r="H859" i="5"/>
  <c r="G859" i="5"/>
  <c r="F859" i="5"/>
  <c r="E859" i="5"/>
  <c r="D859" i="5"/>
  <c r="C859" i="5"/>
  <c r="A859" i="5"/>
  <c r="H858" i="5"/>
  <c r="G858" i="5"/>
  <c r="F858" i="5"/>
  <c r="E858" i="5"/>
  <c r="D858" i="5"/>
  <c r="C858" i="5"/>
  <c r="A858" i="5"/>
  <c r="H857" i="5"/>
  <c r="G857" i="5"/>
  <c r="F857" i="5"/>
  <c r="E857" i="5"/>
  <c r="D857" i="5"/>
  <c r="C857" i="5"/>
  <c r="A857" i="5"/>
  <c r="H856" i="5"/>
  <c r="G856" i="5"/>
  <c r="F856" i="5"/>
  <c r="E856" i="5"/>
  <c r="D856" i="5"/>
  <c r="C856" i="5"/>
  <c r="A856" i="5"/>
  <c r="H855" i="5"/>
  <c r="G855" i="5"/>
  <c r="F855" i="5"/>
  <c r="E855" i="5"/>
  <c r="D855" i="5"/>
  <c r="C855" i="5"/>
  <c r="A855" i="5"/>
  <c r="H854" i="5"/>
  <c r="G854" i="5"/>
  <c r="F854" i="5"/>
  <c r="E854" i="5"/>
  <c r="D854" i="5"/>
  <c r="C854" i="5"/>
  <c r="A854" i="5"/>
  <c r="H853" i="5"/>
  <c r="G853" i="5"/>
  <c r="F853" i="5"/>
  <c r="E853" i="5"/>
  <c r="D853" i="5"/>
  <c r="C853" i="5"/>
  <c r="A853" i="5"/>
  <c r="H852" i="5"/>
  <c r="G852" i="5"/>
  <c r="F852" i="5"/>
  <c r="E852" i="5"/>
  <c r="D852" i="5"/>
  <c r="C852" i="5"/>
  <c r="A852" i="5"/>
  <c r="H851" i="5"/>
  <c r="G851" i="5"/>
  <c r="F851" i="5"/>
  <c r="E851" i="5"/>
  <c r="D851" i="5"/>
  <c r="C851" i="5"/>
  <c r="A851" i="5"/>
  <c r="H850" i="5"/>
  <c r="G850" i="5"/>
  <c r="F850" i="5"/>
  <c r="E850" i="5"/>
  <c r="D850" i="5"/>
  <c r="C850" i="5"/>
  <c r="A850" i="5"/>
  <c r="H849" i="5"/>
  <c r="G849" i="5"/>
  <c r="F849" i="5"/>
  <c r="E849" i="5"/>
  <c r="D849" i="5"/>
  <c r="C849" i="5"/>
  <c r="A849" i="5"/>
  <c r="H848" i="5"/>
  <c r="G848" i="5"/>
  <c r="F848" i="5"/>
  <c r="E848" i="5"/>
  <c r="D848" i="5"/>
  <c r="C848" i="5"/>
  <c r="A848" i="5"/>
  <c r="H847" i="5"/>
  <c r="G847" i="5"/>
  <c r="F847" i="5"/>
  <c r="E847" i="5"/>
  <c r="D847" i="5"/>
  <c r="C847" i="5"/>
  <c r="A847" i="5"/>
  <c r="H846" i="5"/>
  <c r="G846" i="5"/>
  <c r="F846" i="5"/>
  <c r="E846" i="5"/>
  <c r="D846" i="5"/>
  <c r="C846" i="5"/>
  <c r="A846" i="5"/>
  <c r="H845" i="5"/>
  <c r="G845" i="5"/>
  <c r="F845" i="5"/>
  <c r="E845" i="5"/>
  <c r="D845" i="5"/>
  <c r="C845" i="5"/>
  <c r="A845" i="5"/>
  <c r="H844" i="5"/>
  <c r="G844" i="5"/>
  <c r="F844" i="5"/>
  <c r="E844" i="5"/>
  <c r="D844" i="5"/>
  <c r="C844" i="5"/>
  <c r="A844" i="5"/>
  <c r="H843" i="5"/>
  <c r="G843" i="5"/>
  <c r="F843" i="5"/>
  <c r="E843" i="5"/>
  <c r="D843" i="5"/>
  <c r="C843" i="5"/>
  <c r="A843" i="5"/>
  <c r="H842" i="5"/>
  <c r="G842" i="5"/>
  <c r="F842" i="5"/>
  <c r="E842" i="5"/>
  <c r="D842" i="5"/>
  <c r="C842" i="5"/>
  <c r="A842" i="5"/>
  <c r="H841" i="5"/>
  <c r="G841" i="5"/>
  <c r="F841" i="5"/>
  <c r="E841" i="5"/>
  <c r="D841" i="5"/>
  <c r="C841" i="5"/>
  <c r="A841" i="5"/>
  <c r="H840" i="5"/>
  <c r="G840" i="5"/>
  <c r="F840" i="5"/>
  <c r="E840" i="5"/>
  <c r="D840" i="5"/>
  <c r="C840" i="5"/>
  <c r="A840" i="5"/>
  <c r="H839" i="5"/>
  <c r="G839" i="5"/>
  <c r="F839" i="5"/>
  <c r="E839" i="5"/>
  <c r="D839" i="5"/>
  <c r="C839" i="5"/>
  <c r="A839" i="5"/>
  <c r="H838" i="5"/>
  <c r="G838" i="5"/>
  <c r="F838" i="5"/>
  <c r="E838" i="5"/>
  <c r="D838" i="5"/>
  <c r="C838" i="5"/>
  <c r="A838" i="5"/>
  <c r="H837" i="5"/>
  <c r="G837" i="5"/>
  <c r="F837" i="5"/>
  <c r="E837" i="5"/>
  <c r="D837" i="5"/>
  <c r="C837" i="5"/>
  <c r="A837" i="5"/>
  <c r="H836" i="5"/>
  <c r="G836" i="5"/>
  <c r="F836" i="5"/>
  <c r="E836" i="5"/>
  <c r="D836" i="5"/>
  <c r="C836" i="5"/>
  <c r="A836" i="5"/>
  <c r="H835" i="5"/>
  <c r="G835" i="5"/>
  <c r="F835" i="5"/>
  <c r="E835" i="5"/>
  <c r="D835" i="5"/>
  <c r="C835" i="5"/>
  <c r="A835" i="5"/>
  <c r="H834" i="5"/>
  <c r="G834" i="5"/>
  <c r="F834" i="5"/>
  <c r="E834" i="5"/>
  <c r="D834" i="5"/>
  <c r="C834" i="5"/>
  <c r="A834" i="5"/>
  <c r="H833" i="5"/>
  <c r="G833" i="5"/>
  <c r="F833" i="5"/>
  <c r="E833" i="5"/>
  <c r="D833" i="5"/>
  <c r="C833" i="5"/>
  <c r="A833" i="5"/>
  <c r="H832" i="5"/>
  <c r="G832" i="5"/>
  <c r="F832" i="5"/>
  <c r="E832" i="5"/>
  <c r="D832" i="5"/>
  <c r="C832" i="5"/>
  <c r="A832" i="5"/>
  <c r="H831" i="5"/>
  <c r="G831" i="5"/>
  <c r="F831" i="5"/>
  <c r="E831" i="5"/>
  <c r="D831" i="5"/>
  <c r="C831" i="5"/>
  <c r="A831" i="5"/>
  <c r="H830" i="5"/>
  <c r="G830" i="5"/>
  <c r="F830" i="5"/>
  <c r="E830" i="5"/>
  <c r="D830" i="5"/>
  <c r="C830" i="5"/>
  <c r="A830" i="5"/>
  <c r="H829" i="5"/>
  <c r="G829" i="5"/>
  <c r="F829" i="5"/>
  <c r="E829" i="5"/>
  <c r="D829" i="5"/>
  <c r="C829" i="5"/>
  <c r="A829" i="5"/>
  <c r="H828" i="5"/>
  <c r="G828" i="5"/>
  <c r="F828" i="5"/>
  <c r="E828" i="5"/>
  <c r="D828" i="5"/>
  <c r="C828" i="5"/>
  <c r="A828" i="5"/>
  <c r="H827" i="5"/>
  <c r="G827" i="5"/>
  <c r="F827" i="5"/>
  <c r="E827" i="5"/>
  <c r="D827" i="5"/>
  <c r="C827" i="5"/>
  <c r="A827" i="5"/>
  <c r="H826" i="5"/>
  <c r="G826" i="5"/>
  <c r="F826" i="5"/>
  <c r="E826" i="5"/>
  <c r="D826" i="5"/>
  <c r="C826" i="5"/>
  <c r="A826" i="5"/>
  <c r="H825" i="5"/>
  <c r="G825" i="5"/>
  <c r="F825" i="5"/>
  <c r="E825" i="5"/>
  <c r="D825" i="5"/>
  <c r="C825" i="5"/>
  <c r="A825" i="5"/>
  <c r="H824" i="5"/>
  <c r="G824" i="5"/>
  <c r="F824" i="5"/>
  <c r="E824" i="5"/>
  <c r="D824" i="5"/>
  <c r="C824" i="5"/>
  <c r="A824" i="5"/>
  <c r="H823" i="5"/>
  <c r="G823" i="5"/>
  <c r="F823" i="5"/>
  <c r="E823" i="5"/>
  <c r="D823" i="5"/>
  <c r="C823" i="5"/>
  <c r="A823" i="5"/>
  <c r="H822" i="5"/>
  <c r="G822" i="5"/>
  <c r="F822" i="5"/>
  <c r="E822" i="5"/>
  <c r="D822" i="5"/>
  <c r="C822" i="5"/>
  <c r="A822" i="5"/>
  <c r="H821" i="5"/>
  <c r="G821" i="5"/>
  <c r="F821" i="5"/>
  <c r="E821" i="5"/>
  <c r="D821" i="5"/>
  <c r="C821" i="5"/>
  <c r="A821" i="5"/>
  <c r="H820" i="5"/>
  <c r="G820" i="5"/>
  <c r="F820" i="5"/>
  <c r="E820" i="5"/>
  <c r="D820" i="5"/>
  <c r="C820" i="5"/>
  <c r="A820" i="5"/>
  <c r="H819" i="5"/>
  <c r="G819" i="5"/>
  <c r="F819" i="5"/>
  <c r="E819" i="5"/>
  <c r="D819" i="5"/>
  <c r="C819" i="5"/>
  <c r="A819" i="5"/>
  <c r="H818" i="5"/>
  <c r="G818" i="5"/>
  <c r="F818" i="5"/>
  <c r="E818" i="5"/>
  <c r="D818" i="5"/>
  <c r="C818" i="5"/>
  <c r="A818" i="5"/>
  <c r="H817" i="5"/>
  <c r="G817" i="5"/>
  <c r="F817" i="5"/>
  <c r="E817" i="5"/>
  <c r="D817" i="5"/>
  <c r="C817" i="5"/>
  <c r="A817" i="5"/>
  <c r="H816" i="5"/>
  <c r="G816" i="5"/>
  <c r="F816" i="5"/>
  <c r="E816" i="5"/>
  <c r="D816" i="5"/>
  <c r="C816" i="5"/>
  <c r="A816" i="5"/>
  <c r="H815" i="5"/>
  <c r="G815" i="5"/>
  <c r="F815" i="5"/>
  <c r="E815" i="5"/>
  <c r="D815" i="5"/>
  <c r="C815" i="5"/>
  <c r="A815" i="5"/>
  <c r="H814" i="5"/>
  <c r="G814" i="5"/>
  <c r="F814" i="5"/>
  <c r="E814" i="5"/>
  <c r="D814" i="5"/>
  <c r="C814" i="5"/>
  <c r="A814" i="5"/>
  <c r="H813" i="5"/>
  <c r="G813" i="5"/>
  <c r="F813" i="5"/>
  <c r="E813" i="5"/>
  <c r="D813" i="5"/>
  <c r="C813" i="5"/>
  <c r="A813" i="5"/>
  <c r="H812" i="5"/>
  <c r="G812" i="5"/>
  <c r="F812" i="5"/>
  <c r="E812" i="5"/>
  <c r="D812" i="5"/>
  <c r="C812" i="5"/>
  <c r="A812" i="5"/>
  <c r="H811" i="5"/>
  <c r="G811" i="5"/>
  <c r="F811" i="5"/>
  <c r="E811" i="5"/>
  <c r="D811" i="5"/>
  <c r="C811" i="5"/>
  <c r="A811" i="5"/>
  <c r="H810" i="5"/>
  <c r="G810" i="5"/>
  <c r="F810" i="5"/>
  <c r="E810" i="5"/>
  <c r="D810" i="5"/>
  <c r="C810" i="5"/>
  <c r="A810" i="5"/>
  <c r="H809" i="5"/>
  <c r="G809" i="5"/>
  <c r="F809" i="5"/>
  <c r="E809" i="5"/>
  <c r="D809" i="5"/>
  <c r="C809" i="5"/>
  <c r="A809" i="5"/>
  <c r="H808" i="5"/>
  <c r="G808" i="5"/>
  <c r="F808" i="5"/>
  <c r="E808" i="5"/>
  <c r="D808" i="5"/>
  <c r="C808" i="5"/>
  <c r="A808" i="5"/>
  <c r="H807" i="5"/>
  <c r="G807" i="5"/>
  <c r="F807" i="5"/>
  <c r="E807" i="5"/>
  <c r="D807" i="5"/>
  <c r="C807" i="5"/>
  <c r="A807" i="5"/>
  <c r="H806" i="5"/>
  <c r="G806" i="5"/>
  <c r="F806" i="5"/>
  <c r="E806" i="5"/>
  <c r="D806" i="5"/>
  <c r="C806" i="5"/>
  <c r="A806" i="5"/>
  <c r="H805" i="5"/>
  <c r="G805" i="5"/>
  <c r="F805" i="5"/>
  <c r="E805" i="5"/>
  <c r="D805" i="5"/>
  <c r="C805" i="5"/>
  <c r="A805" i="5"/>
  <c r="H804" i="5"/>
  <c r="G804" i="5"/>
  <c r="F804" i="5"/>
  <c r="E804" i="5"/>
  <c r="D804" i="5"/>
  <c r="C804" i="5"/>
  <c r="A804" i="5"/>
  <c r="H803" i="5"/>
  <c r="G803" i="5"/>
  <c r="F803" i="5"/>
  <c r="E803" i="5"/>
  <c r="D803" i="5"/>
  <c r="C803" i="5"/>
  <c r="A803" i="5"/>
  <c r="H802" i="5"/>
  <c r="G802" i="5"/>
  <c r="F802" i="5"/>
  <c r="E802" i="5"/>
  <c r="D802" i="5"/>
  <c r="C802" i="5"/>
  <c r="A802" i="5"/>
  <c r="H801" i="5"/>
  <c r="G801" i="5"/>
  <c r="F801" i="5"/>
  <c r="E801" i="5"/>
  <c r="D801" i="5"/>
  <c r="C801" i="5"/>
  <c r="A801" i="5"/>
  <c r="H800" i="5"/>
  <c r="G800" i="5"/>
  <c r="F800" i="5"/>
  <c r="E800" i="5"/>
  <c r="D800" i="5"/>
  <c r="C800" i="5"/>
  <c r="A800" i="5"/>
  <c r="H799" i="5"/>
  <c r="G799" i="5"/>
  <c r="F799" i="5"/>
  <c r="E799" i="5"/>
  <c r="D799" i="5"/>
  <c r="C799" i="5"/>
  <c r="A799" i="5"/>
  <c r="H798" i="5"/>
  <c r="G798" i="5"/>
  <c r="F798" i="5"/>
  <c r="E798" i="5"/>
  <c r="D798" i="5"/>
  <c r="C798" i="5"/>
  <c r="A798" i="5"/>
  <c r="H797" i="5"/>
  <c r="G797" i="5"/>
  <c r="F797" i="5"/>
  <c r="E797" i="5"/>
  <c r="D797" i="5"/>
  <c r="C797" i="5"/>
  <c r="A797" i="5"/>
  <c r="H796" i="5"/>
  <c r="G796" i="5"/>
  <c r="F796" i="5"/>
  <c r="E796" i="5"/>
  <c r="D796" i="5"/>
  <c r="C796" i="5"/>
  <c r="A796" i="5"/>
  <c r="H795" i="5"/>
  <c r="G795" i="5"/>
  <c r="F795" i="5"/>
  <c r="E795" i="5"/>
  <c r="D795" i="5"/>
  <c r="C795" i="5"/>
  <c r="A795" i="5"/>
  <c r="H794" i="5"/>
  <c r="G794" i="5"/>
  <c r="F794" i="5"/>
  <c r="E794" i="5"/>
  <c r="D794" i="5"/>
  <c r="C794" i="5"/>
  <c r="A794" i="5"/>
  <c r="H793" i="5"/>
  <c r="G793" i="5"/>
  <c r="F793" i="5"/>
  <c r="E793" i="5"/>
  <c r="D793" i="5"/>
  <c r="C793" i="5"/>
  <c r="A793" i="5"/>
  <c r="H792" i="5"/>
  <c r="G792" i="5"/>
  <c r="F792" i="5"/>
  <c r="E792" i="5"/>
  <c r="D792" i="5"/>
  <c r="C792" i="5"/>
  <c r="A792" i="5"/>
  <c r="H791" i="5"/>
  <c r="G791" i="5"/>
  <c r="F791" i="5"/>
  <c r="E791" i="5"/>
  <c r="D791" i="5"/>
  <c r="C791" i="5"/>
  <c r="A791" i="5"/>
  <c r="H790" i="5"/>
  <c r="G790" i="5"/>
  <c r="F790" i="5"/>
  <c r="E790" i="5"/>
  <c r="D790" i="5"/>
  <c r="C790" i="5"/>
  <c r="A790" i="5"/>
  <c r="H789" i="5"/>
  <c r="G789" i="5"/>
  <c r="F789" i="5"/>
  <c r="E789" i="5"/>
  <c r="D789" i="5"/>
  <c r="C789" i="5"/>
  <c r="A789" i="5"/>
  <c r="H788" i="5"/>
  <c r="G788" i="5"/>
  <c r="F788" i="5"/>
  <c r="E788" i="5"/>
  <c r="D788" i="5"/>
  <c r="C788" i="5"/>
  <c r="A788" i="5"/>
  <c r="H787" i="5"/>
  <c r="G787" i="5"/>
  <c r="F787" i="5"/>
  <c r="E787" i="5"/>
  <c r="D787" i="5"/>
  <c r="C787" i="5"/>
  <c r="A787" i="5"/>
  <c r="H786" i="5"/>
  <c r="G786" i="5"/>
  <c r="F786" i="5"/>
  <c r="E786" i="5"/>
  <c r="D786" i="5"/>
  <c r="C786" i="5"/>
  <c r="A786" i="5"/>
  <c r="H785" i="5"/>
  <c r="G785" i="5"/>
  <c r="F785" i="5"/>
  <c r="E785" i="5"/>
  <c r="D785" i="5"/>
  <c r="C785" i="5"/>
  <c r="A785" i="5"/>
  <c r="H784" i="5"/>
  <c r="G784" i="5"/>
  <c r="F784" i="5"/>
  <c r="E784" i="5"/>
  <c r="D784" i="5"/>
  <c r="C784" i="5"/>
  <c r="A784" i="5"/>
  <c r="H783" i="5"/>
  <c r="G783" i="5"/>
  <c r="F783" i="5"/>
  <c r="E783" i="5"/>
  <c r="D783" i="5"/>
  <c r="C783" i="5"/>
  <c r="A783" i="5"/>
  <c r="H782" i="5"/>
  <c r="G782" i="5"/>
  <c r="F782" i="5"/>
  <c r="E782" i="5"/>
  <c r="D782" i="5"/>
  <c r="C782" i="5"/>
  <c r="A782" i="5"/>
  <c r="H781" i="5"/>
  <c r="G781" i="5"/>
  <c r="F781" i="5"/>
  <c r="E781" i="5"/>
  <c r="D781" i="5"/>
  <c r="C781" i="5"/>
  <c r="A781" i="5"/>
  <c r="H780" i="5"/>
  <c r="G780" i="5"/>
  <c r="F780" i="5"/>
  <c r="E780" i="5"/>
  <c r="D780" i="5"/>
  <c r="C780" i="5"/>
  <c r="A780" i="5"/>
  <c r="H779" i="5"/>
  <c r="G779" i="5"/>
  <c r="F779" i="5"/>
  <c r="E779" i="5"/>
  <c r="D779" i="5"/>
  <c r="C779" i="5"/>
  <c r="A779" i="5"/>
  <c r="H778" i="5"/>
  <c r="G778" i="5"/>
  <c r="F778" i="5"/>
  <c r="E778" i="5"/>
  <c r="D778" i="5"/>
  <c r="C778" i="5"/>
  <c r="A778" i="5"/>
  <c r="H777" i="5"/>
  <c r="G777" i="5"/>
  <c r="F777" i="5"/>
  <c r="E777" i="5"/>
  <c r="D777" i="5"/>
  <c r="C777" i="5"/>
  <c r="A777" i="5"/>
  <c r="H776" i="5"/>
  <c r="G776" i="5"/>
  <c r="F776" i="5"/>
  <c r="E776" i="5"/>
  <c r="D776" i="5"/>
  <c r="C776" i="5"/>
  <c r="A776" i="5"/>
  <c r="H775" i="5"/>
  <c r="G775" i="5"/>
  <c r="F775" i="5"/>
  <c r="E775" i="5"/>
  <c r="D775" i="5"/>
  <c r="C775" i="5"/>
  <c r="A775" i="5"/>
  <c r="H774" i="5"/>
  <c r="G774" i="5"/>
  <c r="F774" i="5"/>
  <c r="E774" i="5"/>
  <c r="D774" i="5"/>
  <c r="C774" i="5"/>
  <c r="A774" i="5"/>
  <c r="H773" i="5"/>
  <c r="G773" i="5"/>
  <c r="F773" i="5"/>
  <c r="E773" i="5"/>
  <c r="D773" i="5"/>
  <c r="C773" i="5"/>
  <c r="A773" i="5"/>
  <c r="H772" i="5"/>
  <c r="G772" i="5"/>
  <c r="F772" i="5"/>
  <c r="E772" i="5"/>
  <c r="D772" i="5"/>
  <c r="C772" i="5"/>
  <c r="A772" i="5"/>
  <c r="H771" i="5"/>
  <c r="G771" i="5"/>
  <c r="F771" i="5"/>
  <c r="E771" i="5"/>
  <c r="D771" i="5"/>
  <c r="C771" i="5"/>
  <c r="A771" i="5"/>
  <c r="H770" i="5"/>
  <c r="G770" i="5"/>
  <c r="F770" i="5"/>
  <c r="E770" i="5"/>
  <c r="D770" i="5"/>
  <c r="C770" i="5"/>
  <c r="A770" i="5"/>
  <c r="H769" i="5"/>
  <c r="G769" i="5"/>
  <c r="F769" i="5"/>
  <c r="E769" i="5"/>
  <c r="D769" i="5"/>
  <c r="C769" i="5"/>
  <c r="A769" i="5"/>
  <c r="H768" i="5"/>
  <c r="G768" i="5"/>
  <c r="F768" i="5"/>
  <c r="E768" i="5"/>
  <c r="D768" i="5"/>
  <c r="C768" i="5"/>
  <c r="A768" i="5"/>
  <c r="H767" i="5"/>
  <c r="G767" i="5"/>
  <c r="F767" i="5"/>
  <c r="E767" i="5"/>
  <c r="D767" i="5"/>
  <c r="C767" i="5"/>
  <c r="A767" i="5"/>
  <c r="H766" i="5"/>
  <c r="G766" i="5"/>
  <c r="F766" i="5"/>
  <c r="E766" i="5"/>
  <c r="D766" i="5"/>
  <c r="C766" i="5"/>
  <c r="A766" i="5"/>
  <c r="H765" i="5"/>
  <c r="G765" i="5"/>
  <c r="F765" i="5"/>
  <c r="E765" i="5"/>
  <c r="D765" i="5"/>
  <c r="C765" i="5"/>
  <c r="A765" i="5"/>
  <c r="H764" i="5"/>
  <c r="G764" i="5"/>
  <c r="F764" i="5"/>
  <c r="E764" i="5"/>
  <c r="D764" i="5"/>
  <c r="C764" i="5"/>
  <c r="A764" i="5"/>
  <c r="H763" i="5"/>
  <c r="G763" i="5"/>
  <c r="F763" i="5"/>
  <c r="E763" i="5"/>
  <c r="D763" i="5"/>
  <c r="C763" i="5"/>
  <c r="A763" i="5"/>
  <c r="H762" i="5"/>
  <c r="G762" i="5"/>
  <c r="F762" i="5"/>
  <c r="E762" i="5"/>
  <c r="D762" i="5"/>
  <c r="C762" i="5"/>
  <c r="A762" i="5"/>
  <c r="H761" i="5"/>
  <c r="G761" i="5"/>
  <c r="F761" i="5"/>
  <c r="E761" i="5"/>
  <c r="D761" i="5"/>
  <c r="C761" i="5"/>
  <c r="A761" i="5"/>
  <c r="H760" i="5"/>
  <c r="G760" i="5"/>
  <c r="F760" i="5"/>
  <c r="E760" i="5"/>
  <c r="D760" i="5"/>
  <c r="C760" i="5"/>
  <c r="A760" i="5"/>
  <c r="H759" i="5"/>
  <c r="G759" i="5"/>
  <c r="F759" i="5"/>
  <c r="E759" i="5"/>
  <c r="D759" i="5"/>
  <c r="C759" i="5"/>
  <c r="A759" i="5"/>
  <c r="H758" i="5"/>
  <c r="G758" i="5"/>
  <c r="F758" i="5"/>
  <c r="E758" i="5"/>
  <c r="D758" i="5"/>
  <c r="C758" i="5"/>
  <c r="A758" i="5"/>
  <c r="H757" i="5"/>
  <c r="G757" i="5"/>
  <c r="F757" i="5"/>
  <c r="E757" i="5"/>
  <c r="D757" i="5"/>
  <c r="C757" i="5"/>
  <c r="A757" i="5"/>
  <c r="H756" i="5"/>
  <c r="G756" i="5"/>
  <c r="F756" i="5"/>
  <c r="E756" i="5"/>
  <c r="D756" i="5"/>
  <c r="C756" i="5"/>
  <c r="A756" i="5"/>
  <c r="H755" i="5"/>
  <c r="G755" i="5"/>
  <c r="F755" i="5"/>
  <c r="E755" i="5"/>
  <c r="D755" i="5"/>
  <c r="C755" i="5"/>
  <c r="A755" i="5"/>
  <c r="H754" i="5"/>
  <c r="G754" i="5"/>
  <c r="F754" i="5"/>
  <c r="E754" i="5"/>
  <c r="D754" i="5"/>
  <c r="C754" i="5"/>
  <c r="A754" i="5"/>
  <c r="H753" i="5"/>
  <c r="G753" i="5"/>
  <c r="F753" i="5"/>
  <c r="E753" i="5"/>
  <c r="D753" i="5"/>
  <c r="C753" i="5"/>
  <c r="A753" i="5"/>
  <c r="H752" i="5"/>
  <c r="G752" i="5"/>
  <c r="F752" i="5"/>
  <c r="E752" i="5"/>
  <c r="D752" i="5"/>
  <c r="C752" i="5"/>
  <c r="A752" i="5"/>
  <c r="H751" i="5"/>
  <c r="G751" i="5"/>
  <c r="F751" i="5"/>
  <c r="E751" i="5"/>
  <c r="D751" i="5"/>
  <c r="C751" i="5"/>
  <c r="A751" i="5"/>
  <c r="H750" i="5"/>
  <c r="G750" i="5"/>
  <c r="F750" i="5"/>
  <c r="E750" i="5"/>
  <c r="D750" i="5"/>
  <c r="C750" i="5"/>
  <c r="A750" i="5"/>
  <c r="H749" i="5"/>
  <c r="G749" i="5"/>
  <c r="F749" i="5"/>
  <c r="E749" i="5"/>
  <c r="D749" i="5"/>
  <c r="C749" i="5"/>
  <c r="A749" i="5"/>
  <c r="H748" i="5"/>
  <c r="G748" i="5"/>
  <c r="F748" i="5"/>
  <c r="E748" i="5"/>
  <c r="D748" i="5"/>
  <c r="C748" i="5"/>
  <c r="A748" i="5"/>
  <c r="H747" i="5"/>
  <c r="G747" i="5"/>
  <c r="F747" i="5"/>
  <c r="E747" i="5"/>
  <c r="D747" i="5"/>
  <c r="C747" i="5"/>
  <c r="A747" i="5"/>
  <c r="H746" i="5"/>
  <c r="G746" i="5"/>
  <c r="F746" i="5"/>
  <c r="E746" i="5"/>
  <c r="D746" i="5"/>
  <c r="C746" i="5"/>
  <c r="A746" i="5"/>
  <c r="H745" i="5"/>
  <c r="G745" i="5"/>
  <c r="F745" i="5"/>
  <c r="E745" i="5"/>
  <c r="D745" i="5"/>
  <c r="C745" i="5"/>
  <c r="A745" i="5"/>
  <c r="H744" i="5"/>
  <c r="G744" i="5"/>
  <c r="F744" i="5"/>
  <c r="E744" i="5"/>
  <c r="D744" i="5"/>
  <c r="C744" i="5"/>
  <c r="A744" i="5"/>
  <c r="H743" i="5"/>
  <c r="G743" i="5"/>
  <c r="F743" i="5"/>
  <c r="E743" i="5"/>
  <c r="D743" i="5"/>
  <c r="C743" i="5"/>
  <c r="A743" i="5"/>
  <c r="H742" i="5"/>
  <c r="G742" i="5"/>
  <c r="F742" i="5"/>
  <c r="E742" i="5"/>
  <c r="D742" i="5"/>
  <c r="C742" i="5"/>
  <c r="A742" i="5"/>
  <c r="H741" i="5"/>
  <c r="G741" i="5"/>
  <c r="F741" i="5"/>
  <c r="E741" i="5"/>
  <c r="D741" i="5"/>
  <c r="C741" i="5"/>
  <c r="A741" i="5"/>
  <c r="H740" i="5"/>
  <c r="G740" i="5"/>
  <c r="F740" i="5"/>
  <c r="E740" i="5"/>
  <c r="D740" i="5"/>
  <c r="C740" i="5"/>
  <c r="A740" i="5"/>
  <c r="H739" i="5"/>
  <c r="G739" i="5"/>
  <c r="F739" i="5"/>
  <c r="E739" i="5"/>
  <c r="D739" i="5"/>
  <c r="C739" i="5"/>
  <c r="A739" i="5"/>
  <c r="H738" i="5"/>
  <c r="G738" i="5"/>
  <c r="F738" i="5"/>
  <c r="E738" i="5"/>
  <c r="D738" i="5"/>
  <c r="C738" i="5"/>
  <c r="A738" i="5"/>
  <c r="H737" i="5"/>
  <c r="G737" i="5"/>
  <c r="F737" i="5"/>
  <c r="E737" i="5"/>
  <c r="D737" i="5"/>
  <c r="C737" i="5"/>
  <c r="A737" i="5"/>
  <c r="H736" i="5"/>
  <c r="G736" i="5"/>
  <c r="F736" i="5"/>
  <c r="E736" i="5"/>
  <c r="D736" i="5"/>
  <c r="C736" i="5"/>
  <c r="A736" i="5"/>
  <c r="H735" i="5"/>
  <c r="G735" i="5"/>
  <c r="F735" i="5"/>
  <c r="E735" i="5"/>
  <c r="D735" i="5"/>
  <c r="C735" i="5"/>
  <c r="A735" i="5"/>
  <c r="H734" i="5"/>
  <c r="G734" i="5"/>
  <c r="F734" i="5"/>
  <c r="E734" i="5"/>
  <c r="D734" i="5"/>
  <c r="C734" i="5"/>
  <c r="A734" i="5"/>
  <c r="H733" i="5"/>
  <c r="G733" i="5"/>
  <c r="F733" i="5"/>
  <c r="E733" i="5"/>
  <c r="D733" i="5"/>
  <c r="C733" i="5"/>
  <c r="A733" i="5"/>
  <c r="H732" i="5"/>
  <c r="G732" i="5"/>
  <c r="F732" i="5"/>
  <c r="E732" i="5"/>
  <c r="D732" i="5"/>
  <c r="C732" i="5"/>
  <c r="A732" i="5"/>
  <c r="H731" i="5"/>
  <c r="G731" i="5"/>
  <c r="F731" i="5"/>
  <c r="E731" i="5"/>
  <c r="D731" i="5"/>
  <c r="C731" i="5"/>
  <c r="A731" i="5"/>
  <c r="H730" i="5"/>
  <c r="G730" i="5"/>
  <c r="F730" i="5"/>
  <c r="E730" i="5"/>
  <c r="D730" i="5"/>
  <c r="C730" i="5"/>
  <c r="A730" i="5"/>
  <c r="H729" i="5"/>
  <c r="G729" i="5"/>
  <c r="F729" i="5"/>
  <c r="E729" i="5"/>
  <c r="D729" i="5"/>
  <c r="C729" i="5"/>
  <c r="A729" i="5"/>
  <c r="H728" i="5"/>
  <c r="G728" i="5"/>
  <c r="F728" i="5"/>
  <c r="E728" i="5"/>
  <c r="D728" i="5"/>
  <c r="C728" i="5"/>
  <c r="A728" i="5"/>
  <c r="H727" i="5"/>
  <c r="G727" i="5"/>
  <c r="F727" i="5"/>
  <c r="E727" i="5"/>
  <c r="D727" i="5"/>
  <c r="C727" i="5"/>
  <c r="A727" i="5"/>
  <c r="H726" i="5"/>
  <c r="G726" i="5"/>
  <c r="F726" i="5"/>
  <c r="E726" i="5"/>
  <c r="D726" i="5"/>
  <c r="C726" i="5"/>
  <c r="A726" i="5"/>
  <c r="H725" i="5"/>
  <c r="G725" i="5"/>
  <c r="F725" i="5"/>
  <c r="E725" i="5"/>
  <c r="D725" i="5"/>
  <c r="C725" i="5"/>
  <c r="A725" i="5"/>
  <c r="H724" i="5"/>
  <c r="G724" i="5"/>
  <c r="F724" i="5"/>
  <c r="E724" i="5"/>
  <c r="D724" i="5"/>
  <c r="C724" i="5"/>
  <c r="A724" i="5"/>
  <c r="H723" i="5"/>
  <c r="G723" i="5"/>
  <c r="F723" i="5"/>
  <c r="E723" i="5"/>
  <c r="D723" i="5"/>
  <c r="C723" i="5"/>
  <c r="A723" i="5"/>
  <c r="H722" i="5"/>
  <c r="G722" i="5"/>
  <c r="F722" i="5"/>
  <c r="E722" i="5"/>
  <c r="D722" i="5"/>
  <c r="C722" i="5"/>
  <c r="A722" i="5"/>
  <c r="H721" i="5"/>
  <c r="G721" i="5"/>
  <c r="F721" i="5"/>
  <c r="E721" i="5"/>
  <c r="D721" i="5"/>
  <c r="C721" i="5"/>
  <c r="A721" i="5"/>
  <c r="H720" i="5"/>
  <c r="G720" i="5"/>
  <c r="F720" i="5"/>
  <c r="E720" i="5"/>
  <c r="D720" i="5"/>
  <c r="C720" i="5"/>
  <c r="A720" i="5"/>
  <c r="H719" i="5"/>
  <c r="G719" i="5"/>
  <c r="F719" i="5"/>
  <c r="E719" i="5"/>
  <c r="D719" i="5"/>
  <c r="C719" i="5"/>
  <c r="A719" i="5"/>
  <c r="H718" i="5"/>
  <c r="G718" i="5"/>
  <c r="F718" i="5"/>
  <c r="E718" i="5"/>
  <c r="D718" i="5"/>
  <c r="C718" i="5"/>
  <c r="A718" i="5"/>
  <c r="H717" i="5"/>
  <c r="G717" i="5"/>
  <c r="F717" i="5"/>
  <c r="E717" i="5"/>
  <c r="D717" i="5"/>
  <c r="C717" i="5"/>
  <c r="A717" i="5"/>
  <c r="H716" i="5"/>
  <c r="G716" i="5"/>
  <c r="F716" i="5"/>
  <c r="E716" i="5"/>
  <c r="D716" i="5"/>
  <c r="C716" i="5"/>
  <c r="A716" i="5"/>
  <c r="H715" i="5"/>
  <c r="G715" i="5"/>
  <c r="F715" i="5"/>
  <c r="E715" i="5"/>
  <c r="D715" i="5"/>
  <c r="C715" i="5"/>
  <c r="A715" i="5"/>
  <c r="H714" i="5"/>
  <c r="G714" i="5"/>
  <c r="F714" i="5"/>
  <c r="E714" i="5"/>
  <c r="D714" i="5"/>
  <c r="C714" i="5"/>
  <c r="A714" i="5"/>
  <c r="H713" i="5"/>
  <c r="G713" i="5"/>
  <c r="F713" i="5"/>
  <c r="E713" i="5"/>
  <c r="D713" i="5"/>
  <c r="C713" i="5"/>
  <c r="A713" i="5"/>
  <c r="H712" i="5"/>
  <c r="G712" i="5"/>
  <c r="F712" i="5"/>
  <c r="E712" i="5"/>
  <c r="D712" i="5"/>
  <c r="C712" i="5"/>
  <c r="A712" i="5"/>
  <c r="H711" i="5"/>
  <c r="G711" i="5"/>
  <c r="F711" i="5"/>
  <c r="E711" i="5"/>
  <c r="D711" i="5"/>
  <c r="C711" i="5"/>
  <c r="A711" i="5"/>
  <c r="H710" i="5"/>
  <c r="G710" i="5"/>
  <c r="F710" i="5"/>
  <c r="E710" i="5"/>
  <c r="D710" i="5"/>
  <c r="C710" i="5"/>
  <c r="A710" i="5"/>
  <c r="H709" i="5"/>
  <c r="G709" i="5"/>
  <c r="F709" i="5"/>
  <c r="E709" i="5"/>
  <c r="D709" i="5"/>
  <c r="C709" i="5"/>
  <c r="A709" i="5"/>
  <c r="H708" i="5"/>
  <c r="G708" i="5"/>
  <c r="F708" i="5"/>
  <c r="E708" i="5"/>
  <c r="D708" i="5"/>
  <c r="C708" i="5"/>
  <c r="A708" i="5"/>
  <c r="H707" i="5"/>
  <c r="G707" i="5"/>
  <c r="F707" i="5"/>
  <c r="E707" i="5"/>
  <c r="D707" i="5"/>
  <c r="C707" i="5"/>
  <c r="A707" i="5"/>
  <c r="H706" i="5"/>
  <c r="G706" i="5"/>
  <c r="F706" i="5"/>
  <c r="E706" i="5"/>
  <c r="D706" i="5"/>
  <c r="C706" i="5"/>
  <c r="A706" i="5"/>
  <c r="H705" i="5"/>
  <c r="G705" i="5"/>
  <c r="F705" i="5"/>
  <c r="E705" i="5"/>
  <c r="D705" i="5"/>
  <c r="C705" i="5"/>
  <c r="A705" i="5"/>
  <c r="H704" i="5"/>
  <c r="G704" i="5"/>
  <c r="F704" i="5"/>
  <c r="E704" i="5"/>
  <c r="D704" i="5"/>
  <c r="C704" i="5"/>
  <c r="A704" i="5"/>
  <c r="H703" i="5"/>
  <c r="G703" i="5"/>
  <c r="F703" i="5"/>
  <c r="E703" i="5"/>
  <c r="D703" i="5"/>
  <c r="C703" i="5"/>
  <c r="A703" i="5"/>
  <c r="H702" i="5"/>
  <c r="G702" i="5"/>
  <c r="F702" i="5"/>
  <c r="E702" i="5"/>
  <c r="D702" i="5"/>
  <c r="C702" i="5"/>
  <c r="A702" i="5"/>
  <c r="H701" i="5"/>
  <c r="G701" i="5"/>
  <c r="F701" i="5"/>
  <c r="E701" i="5"/>
  <c r="D701" i="5"/>
  <c r="C701" i="5"/>
  <c r="A701" i="5"/>
  <c r="H700" i="5"/>
  <c r="G700" i="5"/>
  <c r="F700" i="5"/>
  <c r="E700" i="5"/>
  <c r="D700" i="5"/>
  <c r="C700" i="5"/>
  <c r="A700" i="5"/>
  <c r="H699" i="5"/>
  <c r="G699" i="5"/>
  <c r="F699" i="5"/>
  <c r="E699" i="5"/>
  <c r="D699" i="5"/>
  <c r="C699" i="5"/>
  <c r="A699" i="5"/>
  <c r="H698" i="5"/>
  <c r="G698" i="5"/>
  <c r="F698" i="5"/>
  <c r="E698" i="5"/>
  <c r="D698" i="5"/>
  <c r="C698" i="5"/>
  <c r="A698" i="5"/>
  <c r="H697" i="5"/>
  <c r="G697" i="5"/>
  <c r="F697" i="5"/>
  <c r="E697" i="5"/>
  <c r="D697" i="5"/>
  <c r="C697" i="5"/>
  <c r="A697" i="5"/>
  <c r="H696" i="5"/>
  <c r="G696" i="5"/>
  <c r="F696" i="5"/>
  <c r="E696" i="5"/>
  <c r="D696" i="5"/>
  <c r="C696" i="5"/>
  <c r="A696" i="5"/>
  <c r="H695" i="5"/>
  <c r="G695" i="5"/>
  <c r="F695" i="5"/>
  <c r="E695" i="5"/>
  <c r="D695" i="5"/>
  <c r="C695" i="5"/>
  <c r="A695" i="5"/>
  <c r="H694" i="5"/>
  <c r="G694" i="5"/>
  <c r="F694" i="5"/>
  <c r="E694" i="5"/>
  <c r="D694" i="5"/>
  <c r="C694" i="5"/>
  <c r="A694" i="5"/>
  <c r="H693" i="5"/>
  <c r="G693" i="5"/>
  <c r="F693" i="5"/>
  <c r="E693" i="5"/>
  <c r="D693" i="5"/>
  <c r="C693" i="5"/>
  <c r="A693" i="5"/>
  <c r="H692" i="5"/>
  <c r="G692" i="5"/>
  <c r="F692" i="5"/>
  <c r="E692" i="5"/>
  <c r="D692" i="5"/>
  <c r="C692" i="5"/>
  <c r="A692" i="5"/>
  <c r="H691" i="5"/>
  <c r="G691" i="5"/>
  <c r="F691" i="5"/>
  <c r="E691" i="5"/>
  <c r="D691" i="5"/>
  <c r="C691" i="5"/>
  <c r="A691" i="5"/>
  <c r="H690" i="5"/>
  <c r="G690" i="5"/>
  <c r="F690" i="5"/>
  <c r="E690" i="5"/>
  <c r="D690" i="5"/>
  <c r="C690" i="5"/>
  <c r="A690" i="5"/>
  <c r="H689" i="5"/>
  <c r="G689" i="5"/>
  <c r="F689" i="5"/>
  <c r="E689" i="5"/>
  <c r="D689" i="5"/>
  <c r="C689" i="5"/>
  <c r="A689" i="5"/>
  <c r="H688" i="5"/>
  <c r="G688" i="5"/>
  <c r="F688" i="5"/>
  <c r="E688" i="5"/>
  <c r="D688" i="5"/>
  <c r="C688" i="5"/>
  <c r="A688" i="5"/>
  <c r="H687" i="5"/>
  <c r="G687" i="5"/>
  <c r="F687" i="5"/>
  <c r="E687" i="5"/>
  <c r="D687" i="5"/>
  <c r="C687" i="5"/>
  <c r="A687" i="5"/>
  <c r="H686" i="5"/>
  <c r="G686" i="5"/>
  <c r="F686" i="5"/>
  <c r="E686" i="5"/>
  <c r="D686" i="5"/>
  <c r="C686" i="5"/>
  <c r="A686" i="5"/>
  <c r="H685" i="5"/>
  <c r="G685" i="5"/>
  <c r="F685" i="5"/>
  <c r="E685" i="5"/>
  <c r="D685" i="5"/>
  <c r="C685" i="5"/>
  <c r="A685" i="5"/>
  <c r="H684" i="5"/>
  <c r="G684" i="5"/>
  <c r="F684" i="5"/>
  <c r="E684" i="5"/>
  <c r="D684" i="5"/>
  <c r="C684" i="5"/>
  <c r="A684" i="5"/>
  <c r="H683" i="5"/>
  <c r="G683" i="5"/>
  <c r="F683" i="5"/>
  <c r="E683" i="5"/>
  <c r="D683" i="5"/>
  <c r="C683" i="5"/>
  <c r="A683" i="5"/>
  <c r="H682" i="5"/>
  <c r="G682" i="5"/>
  <c r="F682" i="5"/>
  <c r="E682" i="5"/>
  <c r="D682" i="5"/>
  <c r="C682" i="5"/>
  <c r="A682" i="5"/>
  <c r="H681" i="5"/>
  <c r="G681" i="5"/>
  <c r="F681" i="5"/>
  <c r="E681" i="5"/>
  <c r="D681" i="5"/>
  <c r="C681" i="5"/>
  <c r="A681" i="5"/>
  <c r="H680" i="5"/>
  <c r="G680" i="5"/>
  <c r="F680" i="5"/>
  <c r="E680" i="5"/>
  <c r="D680" i="5"/>
  <c r="C680" i="5"/>
  <c r="A680" i="5"/>
  <c r="H679" i="5"/>
  <c r="G679" i="5"/>
  <c r="F679" i="5"/>
  <c r="E679" i="5"/>
  <c r="D679" i="5"/>
  <c r="C679" i="5"/>
  <c r="A679" i="5"/>
  <c r="H678" i="5"/>
  <c r="G678" i="5"/>
  <c r="F678" i="5"/>
  <c r="E678" i="5"/>
  <c r="D678" i="5"/>
  <c r="C678" i="5"/>
  <c r="A678" i="5"/>
  <c r="H677" i="5"/>
  <c r="G677" i="5"/>
  <c r="F677" i="5"/>
  <c r="E677" i="5"/>
  <c r="D677" i="5"/>
  <c r="C677" i="5"/>
  <c r="A677" i="5"/>
  <c r="H676" i="5"/>
  <c r="G676" i="5"/>
  <c r="F676" i="5"/>
  <c r="E676" i="5"/>
  <c r="D676" i="5"/>
  <c r="C676" i="5"/>
  <c r="A676" i="5"/>
  <c r="H675" i="5"/>
  <c r="G675" i="5"/>
  <c r="F675" i="5"/>
  <c r="E675" i="5"/>
  <c r="D675" i="5"/>
  <c r="C675" i="5"/>
  <c r="A675" i="5"/>
  <c r="H674" i="5"/>
  <c r="G674" i="5"/>
  <c r="F674" i="5"/>
  <c r="E674" i="5"/>
  <c r="D674" i="5"/>
  <c r="C674" i="5"/>
  <c r="A674" i="5"/>
  <c r="H673" i="5"/>
  <c r="G673" i="5"/>
  <c r="F673" i="5"/>
  <c r="E673" i="5"/>
  <c r="D673" i="5"/>
  <c r="C673" i="5"/>
  <c r="A673" i="5"/>
  <c r="H672" i="5"/>
  <c r="G672" i="5"/>
  <c r="F672" i="5"/>
  <c r="E672" i="5"/>
  <c r="D672" i="5"/>
  <c r="C672" i="5"/>
  <c r="A672" i="5"/>
  <c r="H671" i="5"/>
  <c r="G671" i="5"/>
  <c r="F671" i="5"/>
  <c r="E671" i="5"/>
  <c r="D671" i="5"/>
  <c r="C671" i="5"/>
  <c r="A671" i="5"/>
  <c r="H670" i="5"/>
  <c r="G670" i="5"/>
  <c r="F670" i="5"/>
  <c r="E670" i="5"/>
  <c r="D670" i="5"/>
  <c r="C670" i="5"/>
  <c r="A670" i="5"/>
  <c r="H669" i="5"/>
  <c r="G669" i="5"/>
  <c r="F669" i="5"/>
  <c r="E669" i="5"/>
  <c r="D669" i="5"/>
  <c r="C669" i="5"/>
  <c r="A669" i="5"/>
  <c r="H668" i="5"/>
  <c r="G668" i="5"/>
  <c r="F668" i="5"/>
  <c r="E668" i="5"/>
  <c r="D668" i="5"/>
  <c r="C668" i="5"/>
  <c r="A668" i="5"/>
  <c r="H667" i="5"/>
  <c r="G667" i="5"/>
  <c r="F667" i="5"/>
  <c r="E667" i="5"/>
  <c r="D667" i="5"/>
  <c r="C667" i="5"/>
  <c r="A667" i="5"/>
  <c r="H666" i="5"/>
  <c r="G666" i="5"/>
  <c r="F666" i="5"/>
  <c r="E666" i="5"/>
  <c r="D666" i="5"/>
  <c r="C666" i="5"/>
  <c r="A666" i="5"/>
  <c r="H665" i="5"/>
  <c r="G665" i="5"/>
  <c r="F665" i="5"/>
  <c r="E665" i="5"/>
  <c r="D665" i="5"/>
  <c r="C665" i="5"/>
  <c r="A665" i="5"/>
  <c r="H664" i="5"/>
  <c r="G664" i="5"/>
  <c r="F664" i="5"/>
  <c r="E664" i="5"/>
  <c r="D664" i="5"/>
  <c r="C664" i="5"/>
  <c r="A664" i="5"/>
  <c r="H663" i="5"/>
  <c r="G663" i="5"/>
  <c r="F663" i="5"/>
  <c r="E663" i="5"/>
  <c r="D663" i="5"/>
  <c r="C663" i="5"/>
  <c r="A663" i="5"/>
  <c r="H662" i="5"/>
  <c r="G662" i="5"/>
  <c r="F662" i="5"/>
  <c r="E662" i="5"/>
  <c r="D662" i="5"/>
  <c r="C662" i="5"/>
  <c r="A662" i="5"/>
  <c r="H661" i="5"/>
  <c r="G661" i="5"/>
  <c r="F661" i="5"/>
  <c r="E661" i="5"/>
  <c r="D661" i="5"/>
  <c r="C661" i="5"/>
  <c r="A661" i="5"/>
  <c r="H660" i="5"/>
  <c r="G660" i="5"/>
  <c r="F660" i="5"/>
  <c r="E660" i="5"/>
  <c r="D660" i="5"/>
  <c r="C660" i="5"/>
  <c r="A660" i="5"/>
  <c r="H659" i="5"/>
  <c r="G659" i="5"/>
  <c r="F659" i="5"/>
  <c r="E659" i="5"/>
  <c r="D659" i="5"/>
  <c r="C659" i="5"/>
  <c r="A659" i="5"/>
  <c r="H658" i="5"/>
  <c r="G658" i="5"/>
  <c r="F658" i="5"/>
  <c r="E658" i="5"/>
  <c r="D658" i="5"/>
  <c r="C658" i="5"/>
  <c r="A658" i="5"/>
  <c r="H657" i="5"/>
  <c r="G657" i="5"/>
  <c r="F657" i="5"/>
  <c r="E657" i="5"/>
  <c r="D657" i="5"/>
  <c r="C657" i="5"/>
  <c r="A657" i="5"/>
  <c r="H656" i="5"/>
  <c r="G656" i="5"/>
  <c r="F656" i="5"/>
  <c r="E656" i="5"/>
  <c r="D656" i="5"/>
  <c r="C656" i="5"/>
  <c r="A656" i="5"/>
  <c r="H655" i="5"/>
  <c r="G655" i="5"/>
  <c r="F655" i="5"/>
  <c r="E655" i="5"/>
  <c r="D655" i="5"/>
  <c r="C655" i="5"/>
  <c r="A655" i="5"/>
  <c r="H654" i="5"/>
  <c r="G654" i="5"/>
  <c r="F654" i="5"/>
  <c r="E654" i="5"/>
  <c r="D654" i="5"/>
  <c r="C654" i="5"/>
  <c r="A654" i="5"/>
  <c r="H653" i="5"/>
  <c r="G653" i="5"/>
  <c r="F653" i="5"/>
  <c r="E653" i="5"/>
  <c r="D653" i="5"/>
  <c r="C653" i="5"/>
  <c r="A653" i="5"/>
  <c r="H652" i="5"/>
  <c r="G652" i="5"/>
  <c r="F652" i="5"/>
  <c r="E652" i="5"/>
  <c r="D652" i="5"/>
  <c r="C652" i="5"/>
  <c r="A652" i="5"/>
  <c r="H651" i="5"/>
  <c r="G651" i="5"/>
  <c r="F651" i="5"/>
  <c r="E651" i="5"/>
  <c r="D651" i="5"/>
  <c r="C651" i="5"/>
  <c r="A651" i="5"/>
  <c r="H650" i="5"/>
  <c r="G650" i="5"/>
  <c r="F650" i="5"/>
  <c r="E650" i="5"/>
  <c r="D650" i="5"/>
  <c r="C650" i="5"/>
  <c r="A650" i="5"/>
  <c r="H649" i="5"/>
  <c r="G649" i="5"/>
  <c r="F649" i="5"/>
  <c r="E649" i="5"/>
  <c r="D649" i="5"/>
  <c r="C649" i="5"/>
  <c r="A649" i="5"/>
  <c r="H648" i="5"/>
  <c r="G648" i="5"/>
  <c r="F648" i="5"/>
  <c r="E648" i="5"/>
  <c r="D648" i="5"/>
  <c r="C648" i="5"/>
  <c r="A648" i="5"/>
  <c r="H647" i="5"/>
  <c r="G647" i="5"/>
  <c r="F647" i="5"/>
  <c r="E647" i="5"/>
  <c r="D647" i="5"/>
  <c r="C647" i="5"/>
  <c r="A647" i="5"/>
  <c r="H646" i="5"/>
  <c r="G646" i="5"/>
  <c r="F646" i="5"/>
  <c r="E646" i="5"/>
  <c r="D646" i="5"/>
  <c r="C646" i="5"/>
  <c r="B646" i="5"/>
  <c r="A646" i="5"/>
  <c r="H645" i="5"/>
  <c r="G645" i="5"/>
  <c r="F645" i="5"/>
  <c r="E645" i="5"/>
  <c r="D645" i="5"/>
  <c r="C645" i="5"/>
  <c r="B645" i="5"/>
  <c r="A645" i="5"/>
  <c r="H644" i="5"/>
  <c r="G644" i="5"/>
  <c r="F644" i="5"/>
  <c r="E644" i="5"/>
  <c r="D644" i="5"/>
  <c r="C644" i="5"/>
  <c r="B644" i="5"/>
  <c r="A644" i="5"/>
  <c r="H643" i="5"/>
  <c r="G643" i="5"/>
  <c r="F643" i="5"/>
  <c r="E643" i="5"/>
  <c r="D643" i="5"/>
  <c r="C643" i="5"/>
  <c r="B643" i="5"/>
  <c r="A643" i="5"/>
  <c r="H642" i="5"/>
  <c r="G642" i="5"/>
  <c r="F642" i="5"/>
  <c r="E642" i="5"/>
  <c r="D642" i="5"/>
  <c r="C642" i="5"/>
  <c r="B642" i="5"/>
  <c r="A642" i="5"/>
  <c r="H641" i="5"/>
  <c r="G641" i="5"/>
  <c r="F641" i="5"/>
  <c r="E641" i="5"/>
  <c r="D641" i="5"/>
  <c r="C641" i="5"/>
  <c r="B641" i="5"/>
  <c r="A641" i="5"/>
  <c r="H640" i="5"/>
  <c r="G640" i="5"/>
  <c r="F640" i="5"/>
  <c r="E640" i="5"/>
  <c r="D640" i="5"/>
  <c r="C640" i="5"/>
  <c r="B640" i="5"/>
  <c r="A640" i="5"/>
  <c r="H639" i="5"/>
  <c r="G639" i="5"/>
  <c r="F639" i="5"/>
  <c r="E639" i="5"/>
  <c r="D639" i="5"/>
  <c r="C639" i="5"/>
  <c r="B639" i="5"/>
  <c r="A639" i="5"/>
  <c r="H638" i="5"/>
  <c r="G638" i="5"/>
  <c r="F638" i="5"/>
  <c r="E638" i="5"/>
  <c r="D638" i="5"/>
  <c r="C638" i="5"/>
  <c r="B638" i="5"/>
  <c r="A638" i="5"/>
  <c r="H637" i="5"/>
  <c r="G637" i="5"/>
  <c r="F637" i="5"/>
  <c r="E637" i="5"/>
  <c r="D637" i="5"/>
  <c r="C637" i="5"/>
  <c r="B637" i="5"/>
  <c r="A637" i="5"/>
  <c r="H636" i="5"/>
  <c r="G636" i="5"/>
  <c r="F636" i="5"/>
  <c r="E636" i="5"/>
  <c r="D636" i="5"/>
  <c r="C636" i="5"/>
  <c r="B636" i="5"/>
  <c r="A636" i="5"/>
  <c r="H635" i="5"/>
  <c r="G635" i="5"/>
  <c r="F635" i="5"/>
  <c r="E635" i="5"/>
  <c r="D635" i="5"/>
  <c r="C635" i="5"/>
  <c r="B635" i="5"/>
  <c r="A635" i="5"/>
  <c r="H634" i="5"/>
  <c r="G634" i="5"/>
  <c r="F634" i="5"/>
  <c r="E634" i="5"/>
  <c r="D634" i="5"/>
  <c r="C634" i="5"/>
  <c r="B634" i="5"/>
  <c r="A634" i="5"/>
  <c r="H633" i="5"/>
  <c r="G633" i="5"/>
  <c r="F633" i="5"/>
  <c r="E633" i="5"/>
  <c r="D633" i="5"/>
  <c r="C633" i="5"/>
  <c r="B633" i="5"/>
  <c r="A633" i="5"/>
  <c r="H632" i="5"/>
  <c r="G632" i="5"/>
  <c r="F632" i="5"/>
  <c r="E632" i="5"/>
  <c r="D632" i="5"/>
  <c r="C632" i="5"/>
  <c r="B632" i="5"/>
  <c r="A632" i="5"/>
  <c r="H631" i="5"/>
  <c r="G631" i="5"/>
  <c r="F631" i="5"/>
  <c r="E631" i="5"/>
  <c r="D631" i="5"/>
  <c r="C631" i="5"/>
  <c r="B631" i="5"/>
  <c r="A631" i="5"/>
  <c r="H630" i="5"/>
  <c r="G630" i="5"/>
  <c r="F630" i="5"/>
  <c r="E630" i="5"/>
  <c r="D630" i="5"/>
  <c r="C630" i="5"/>
  <c r="B630" i="5"/>
  <c r="A630" i="5"/>
  <c r="H629" i="5"/>
  <c r="G629" i="5"/>
  <c r="F629" i="5"/>
  <c r="E629" i="5"/>
  <c r="D629" i="5"/>
  <c r="C629" i="5"/>
  <c r="B629" i="5"/>
  <c r="A629" i="5"/>
  <c r="H628" i="5"/>
  <c r="G628" i="5"/>
  <c r="F628" i="5"/>
  <c r="E628" i="5"/>
  <c r="D628" i="5"/>
  <c r="C628" i="5"/>
  <c r="B628" i="5"/>
  <c r="A628" i="5"/>
  <c r="H627" i="5"/>
  <c r="G627" i="5"/>
  <c r="F627" i="5"/>
  <c r="E627" i="5"/>
  <c r="D627" i="5"/>
  <c r="C627" i="5"/>
  <c r="B627" i="5"/>
  <c r="A627" i="5"/>
  <c r="H626" i="5"/>
  <c r="G626" i="5"/>
  <c r="F626" i="5"/>
  <c r="E626" i="5"/>
  <c r="D626" i="5"/>
  <c r="C626" i="5"/>
  <c r="B626" i="5"/>
  <c r="A626" i="5"/>
  <c r="H625" i="5"/>
  <c r="G625" i="5"/>
  <c r="F625" i="5"/>
  <c r="E625" i="5"/>
  <c r="D625" i="5"/>
  <c r="C625" i="5"/>
  <c r="B625" i="5"/>
  <c r="A625" i="5"/>
  <c r="H624" i="5"/>
  <c r="G624" i="5"/>
  <c r="F624" i="5"/>
  <c r="E624" i="5"/>
  <c r="D624" i="5"/>
  <c r="C624" i="5"/>
  <c r="B624" i="5"/>
  <c r="A624" i="5"/>
  <c r="H623" i="5"/>
  <c r="G623" i="5"/>
  <c r="F623" i="5"/>
  <c r="E623" i="5"/>
  <c r="D623" i="5"/>
  <c r="C623" i="5"/>
  <c r="B623" i="5"/>
  <c r="A623" i="5"/>
  <c r="H622" i="5"/>
  <c r="G622" i="5"/>
  <c r="F622" i="5"/>
  <c r="E622" i="5"/>
  <c r="D622" i="5"/>
  <c r="C622" i="5"/>
  <c r="B622" i="5"/>
  <c r="A622" i="5"/>
  <c r="H621" i="5"/>
  <c r="G621" i="5"/>
  <c r="F621" i="5"/>
  <c r="E621" i="5"/>
  <c r="D621" i="5"/>
  <c r="C621" i="5"/>
  <c r="B621" i="5"/>
  <c r="A621" i="5"/>
  <c r="H620" i="5"/>
  <c r="G620" i="5"/>
  <c r="F620" i="5"/>
  <c r="E620" i="5"/>
  <c r="D620" i="5"/>
  <c r="C620" i="5"/>
  <c r="B620" i="5"/>
  <c r="A620" i="5"/>
  <c r="H619" i="5"/>
  <c r="G619" i="5"/>
  <c r="F619" i="5"/>
  <c r="E619" i="5"/>
  <c r="D619" i="5"/>
  <c r="C619" i="5"/>
  <c r="B619" i="5"/>
  <c r="A619" i="5"/>
  <c r="H618" i="5"/>
  <c r="G618" i="5"/>
  <c r="F618" i="5"/>
  <c r="E618" i="5"/>
  <c r="D618" i="5"/>
  <c r="C618" i="5"/>
  <c r="B618" i="5"/>
  <c r="A618" i="5"/>
  <c r="H617" i="5"/>
  <c r="G617" i="5"/>
  <c r="F617" i="5"/>
  <c r="E617" i="5"/>
  <c r="D617" i="5"/>
  <c r="C617" i="5"/>
  <c r="B617" i="5"/>
  <c r="A617" i="5"/>
  <c r="H616" i="5"/>
  <c r="G616" i="5"/>
  <c r="F616" i="5"/>
  <c r="E616" i="5"/>
  <c r="D616" i="5"/>
  <c r="C616" i="5"/>
  <c r="B616" i="5"/>
  <c r="A616" i="5"/>
  <c r="H615" i="5"/>
  <c r="G615" i="5"/>
  <c r="F615" i="5"/>
  <c r="E615" i="5"/>
  <c r="D615" i="5"/>
  <c r="C615" i="5"/>
  <c r="B615" i="5"/>
  <c r="A615" i="5"/>
  <c r="H614" i="5"/>
  <c r="G614" i="5"/>
  <c r="F614" i="5"/>
  <c r="E614" i="5"/>
  <c r="D614" i="5"/>
  <c r="C614" i="5"/>
  <c r="B614" i="5"/>
  <c r="A614" i="5"/>
  <c r="H613" i="5"/>
  <c r="G613" i="5"/>
  <c r="F613" i="5"/>
  <c r="E613" i="5"/>
  <c r="D613" i="5"/>
  <c r="C613" i="5"/>
  <c r="B613" i="5"/>
  <c r="A613" i="5"/>
  <c r="H612" i="5"/>
  <c r="G612" i="5"/>
  <c r="F612" i="5"/>
  <c r="E612" i="5"/>
  <c r="D612" i="5"/>
  <c r="C612" i="5"/>
  <c r="B612" i="5"/>
  <c r="A612" i="5"/>
  <c r="H611" i="5"/>
  <c r="G611" i="5"/>
  <c r="F611" i="5"/>
  <c r="E611" i="5"/>
  <c r="D611" i="5"/>
  <c r="C611" i="5"/>
  <c r="B611" i="5"/>
  <c r="A611" i="5"/>
  <c r="H610" i="5"/>
  <c r="G610" i="5"/>
  <c r="F610" i="5"/>
  <c r="E610" i="5"/>
  <c r="D610" i="5"/>
  <c r="C610" i="5"/>
  <c r="B610" i="5"/>
  <c r="A610" i="5"/>
  <c r="H609" i="5"/>
  <c r="G609" i="5"/>
  <c r="F609" i="5"/>
  <c r="E609" i="5"/>
  <c r="D609" i="5"/>
  <c r="C609" i="5"/>
  <c r="B609" i="5"/>
  <c r="A609" i="5"/>
  <c r="H608" i="5"/>
  <c r="G608" i="5"/>
  <c r="F608" i="5"/>
  <c r="E608" i="5"/>
  <c r="D608" i="5"/>
  <c r="C608" i="5"/>
  <c r="B608" i="5"/>
  <c r="A608" i="5"/>
  <c r="H607" i="5"/>
  <c r="G607" i="5"/>
  <c r="F607" i="5"/>
  <c r="E607" i="5"/>
  <c r="D607" i="5"/>
  <c r="C607" i="5"/>
  <c r="B607" i="5"/>
  <c r="A607" i="5"/>
  <c r="H606" i="5"/>
  <c r="G606" i="5"/>
  <c r="F606" i="5"/>
  <c r="E606" i="5"/>
  <c r="D606" i="5"/>
  <c r="C606" i="5"/>
  <c r="B606" i="5"/>
  <c r="A606" i="5"/>
  <c r="H605" i="5"/>
  <c r="G605" i="5"/>
  <c r="F605" i="5"/>
  <c r="E605" i="5"/>
  <c r="D605" i="5"/>
  <c r="C605" i="5"/>
  <c r="B605" i="5"/>
  <c r="A605" i="5"/>
  <c r="H604" i="5"/>
  <c r="G604" i="5"/>
  <c r="F604" i="5"/>
  <c r="E604" i="5"/>
  <c r="D604" i="5"/>
  <c r="C604" i="5"/>
  <c r="B604" i="5"/>
  <c r="A604" i="5"/>
  <c r="H603" i="5"/>
  <c r="G603" i="5"/>
  <c r="F603" i="5"/>
  <c r="E603" i="5"/>
  <c r="D603" i="5"/>
  <c r="C603" i="5"/>
  <c r="B603" i="5"/>
  <c r="A603" i="5"/>
  <c r="H602" i="5"/>
  <c r="G602" i="5"/>
  <c r="F602" i="5"/>
  <c r="E602" i="5"/>
  <c r="D602" i="5"/>
  <c r="C602" i="5"/>
  <c r="B602" i="5"/>
  <c r="A602" i="5"/>
  <c r="H601" i="5"/>
  <c r="G601" i="5"/>
  <c r="F601" i="5"/>
  <c r="E601" i="5"/>
  <c r="D601" i="5"/>
  <c r="C601" i="5"/>
  <c r="B601" i="5"/>
  <c r="A601" i="5"/>
  <c r="H600" i="5"/>
  <c r="G600" i="5"/>
  <c r="F600" i="5"/>
  <c r="E600" i="5"/>
  <c r="D600" i="5"/>
  <c r="C600" i="5"/>
  <c r="B600" i="5"/>
  <c r="A600" i="5"/>
  <c r="H599" i="5"/>
  <c r="G599" i="5"/>
  <c r="F599" i="5"/>
  <c r="E599" i="5"/>
  <c r="D599" i="5"/>
  <c r="C599" i="5"/>
  <c r="B599" i="5"/>
  <c r="A599" i="5"/>
  <c r="H598" i="5"/>
  <c r="G598" i="5"/>
  <c r="F598" i="5"/>
  <c r="E598" i="5"/>
  <c r="D598" i="5"/>
  <c r="C598" i="5"/>
  <c r="B598" i="5"/>
  <c r="A598" i="5"/>
  <c r="H597" i="5"/>
  <c r="G597" i="5"/>
  <c r="F597" i="5"/>
  <c r="E597" i="5"/>
  <c r="D597" i="5"/>
  <c r="C597" i="5"/>
  <c r="B597" i="5"/>
  <c r="A597" i="5"/>
  <c r="H596" i="5"/>
  <c r="G596" i="5"/>
  <c r="F596" i="5"/>
  <c r="E596" i="5"/>
  <c r="D596" i="5"/>
  <c r="C596" i="5"/>
  <c r="B596" i="5"/>
  <c r="A596" i="5"/>
  <c r="H595" i="5"/>
  <c r="G595" i="5"/>
  <c r="F595" i="5"/>
  <c r="E595" i="5"/>
  <c r="D595" i="5"/>
  <c r="C595" i="5"/>
  <c r="B595" i="5"/>
  <c r="A595" i="5"/>
  <c r="H594" i="5"/>
  <c r="G594" i="5"/>
  <c r="F594" i="5"/>
  <c r="E594" i="5"/>
  <c r="D594" i="5"/>
  <c r="C594" i="5"/>
  <c r="B594" i="5"/>
  <c r="A594" i="5"/>
  <c r="H593" i="5"/>
  <c r="G593" i="5"/>
  <c r="F593" i="5"/>
  <c r="E593" i="5"/>
  <c r="D593" i="5"/>
  <c r="C593" i="5"/>
  <c r="B593" i="5"/>
  <c r="A593" i="5"/>
  <c r="H592" i="5"/>
  <c r="G592" i="5"/>
  <c r="F592" i="5"/>
  <c r="E592" i="5"/>
  <c r="D592" i="5"/>
  <c r="C592" i="5"/>
  <c r="B592" i="5"/>
  <c r="A592" i="5"/>
  <c r="H591" i="5"/>
  <c r="G591" i="5"/>
  <c r="F591" i="5"/>
  <c r="E591" i="5"/>
  <c r="D591" i="5"/>
  <c r="C591" i="5"/>
  <c r="B591" i="5"/>
  <c r="A591" i="5"/>
  <c r="H590" i="5"/>
  <c r="G590" i="5"/>
  <c r="F590" i="5"/>
  <c r="E590" i="5"/>
  <c r="D590" i="5"/>
  <c r="C590" i="5"/>
  <c r="B590" i="5"/>
  <c r="A590" i="5"/>
  <c r="H589" i="5"/>
  <c r="G589" i="5"/>
  <c r="F589" i="5"/>
  <c r="E589" i="5"/>
  <c r="D589" i="5"/>
  <c r="C589" i="5"/>
  <c r="B589" i="5"/>
  <c r="A589" i="5"/>
  <c r="H588" i="5"/>
  <c r="G588" i="5"/>
  <c r="F588" i="5"/>
  <c r="E588" i="5"/>
  <c r="D588" i="5"/>
  <c r="C588" i="5"/>
  <c r="B588" i="5"/>
  <c r="A588" i="5"/>
  <c r="H587" i="5"/>
  <c r="G587" i="5"/>
  <c r="F587" i="5"/>
  <c r="E587" i="5"/>
  <c r="D587" i="5"/>
  <c r="C587" i="5"/>
  <c r="B587" i="5"/>
  <c r="A587" i="5"/>
  <c r="H586" i="5"/>
  <c r="G586" i="5"/>
  <c r="F586" i="5"/>
  <c r="E586" i="5"/>
  <c r="D586" i="5"/>
  <c r="C586" i="5"/>
  <c r="B586" i="5"/>
  <c r="A586" i="5"/>
  <c r="H585" i="5"/>
  <c r="G585" i="5"/>
  <c r="F585" i="5"/>
  <c r="E585" i="5"/>
  <c r="D585" i="5"/>
  <c r="C585" i="5"/>
  <c r="B585" i="5"/>
  <c r="A585" i="5"/>
  <c r="H584" i="5"/>
  <c r="G584" i="5"/>
  <c r="F584" i="5"/>
  <c r="E584" i="5"/>
  <c r="D584" i="5"/>
  <c r="C584" i="5"/>
  <c r="B584" i="5"/>
  <c r="A584" i="5"/>
  <c r="H583" i="5"/>
  <c r="G583" i="5"/>
  <c r="F583" i="5"/>
  <c r="E583" i="5"/>
  <c r="D583" i="5"/>
  <c r="C583" i="5"/>
  <c r="B583" i="5"/>
  <c r="A583" i="5"/>
  <c r="H582" i="5"/>
  <c r="G582" i="5"/>
  <c r="F582" i="5"/>
  <c r="E582" i="5"/>
  <c r="D582" i="5"/>
  <c r="C582" i="5"/>
  <c r="B582" i="5"/>
  <c r="A582" i="5"/>
  <c r="H581" i="5"/>
  <c r="G581" i="5"/>
  <c r="F581" i="5"/>
  <c r="E581" i="5"/>
  <c r="D581" i="5"/>
  <c r="C581" i="5"/>
  <c r="B581" i="5"/>
  <c r="A581" i="5"/>
  <c r="H580" i="5"/>
  <c r="G580" i="5"/>
  <c r="F580" i="5"/>
  <c r="E580" i="5"/>
  <c r="D580" i="5"/>
  <c r="C580" i="5"/>
  <c r="B580" i="5"/>
  <c r="A580" i="5"/>
  <c r="H579" i="5"/>
  <c r="G579" i="5"/>
  <c r="F579" i="5"/>
  <c r="E579" i="5"/>
  <c r="D579" i="5"/>
  <c r="C579" i="5"/>
  <c r="B579" i="5"/>
  <c r="A579" i="5"/>
  <c r="H578" i="5"/>
  <c r="G578" i="5"/>
  <c r="F578" i="5"/>
  <c r="E578" i="5"/>
  <c r="D578" i="5"/>
  <c r="C578" i="5"/>
  <c r="B578" i="5"/>
  <c r="A578" i="5"/>
  <c r="H577" i="5"/>
  <c r="G577" i="5"/>
  <c r="F577" i="5"/>
  <c r="E577" i="5"/>
  <c r="D577" i="5"/>
  <c r="C577" i="5"/>
  <c r="B577" i="5"/>
  <c r="A577" i="5"/>
  <c r="H576" i="5"/>
  <c r="G576" i="5"/>
  <c r="F576" i="5"/>
  <c r="E576" i="5"/>
  <c r="D576" i="5"/>
  <c r="C576" i="5"/>
  <c r="B576" i="5"/>
  <c r="A576" i="5"/>
  <c r="H575" i="5"/>
  <c r="G575" i="5"/>
  <c r="F575" i="5"/>
  <c r="E575" i="5"/>
  <c r="D575" i="5"/>
  <c r="C575" i="5"/>
  <c r="B575" i="5"/>
  <c r="A575" i="5"/>
  <c r="H574" i="5"/>
  <c r="G574" i="5"/>
  <c r="F574" i="5"/>
  <c r="E574" i="5"/>
  <c r="D574" i="5"/>
  <c r="C574" i="5"/>
  <c r="B574" i="5"/>
  <c r="A574" i="5"/>
  <c r="H573" i="5"/>
  <c r="G573" i="5"/>
  <c r="F573" i="5"/>
  <c r="E573" i="5"/>
  <c r="D573" i="5"/>
  <c r="C573" i="5"/>
  <c r="B573" i="5"/>
  <c r="A573" i="5"/>
  <c r="H572" i="5"/>
  <c r="G572" i="5"/>
  <c r="F572" i="5"/>
  <c r="E572" i="5"/>
  <c r="D572" i="5"/>
  <c r="C572" i="5"/>
  <c r="B572" i="5"/>
  <c r="A572" i="5"/>
  <c r="H571" i="5"/>
  <c r="G571" i="5"/>
  <c r="F571" i="5"/>
  <c r="E571" i="5"/>
  <c r="D571" i="5"/>
  <c r="C571" i="5"/>
  <c r="B571" i="5"/>
  <c r="A571" i="5"/>
  <c r="H570" i="5"/>
  <c r="G570" i="5"/>
  <c r="F570" i="5"/>
  <c r="E570" i="5"/>
  <c r="D570" i="5"/>
  <c r="C570" i="5"/>
  <c r="B570" i="5"/>
  <c r="A570" i="5"/>
  <c r="H569" i="5"/>
  <c r="G569" i="5"/>
  <c r="F569" i="5"/>
  <c r="E569" i="5"/>
  <c r="D569" i="5"/>
  <c r="C569" i="5"/>
  <c r="B569" i="5"/>
  <c r="A569" i="5"/>
  <c r="H568" i="5"/>
  <c r="G568" i="5"/>
  <c r="F568" i="5"/>
  <c r="E568" i="5"/>
  <c r="D568" i="5"/>
  <c r="C568" i="5"/>
  <c r="B568" i="5"/>
  <c r="A568" i="5"/>
  <c r="H567" i="5"/>
  <c r="G567" i="5"/>
  <c r="F567" i="5"/>
  <c r="E567" i="5"/>
  <c r="D567" i="5"/>
  <c r="C567" i="5"/>
  <c r="B567" i="5"/>
  <c r="A567" i="5"/>
  <c r="H566" i="5"/>
  <c r="G566" i="5"/>
  <c r="F566" i="5"/>
  <c r="E566" i="5"/>
  <c r="D566" i="5"/>
  <c r="C566" i="5"/>
  <c r="B566" i="5"/>
  <c r="A566" i="5"/>
  <c r="H565" i="5"/>
  <c r="G565" i="5"/>
  <c r="F565" i="5"/>
  <c r="E565" i="5"/>
  <c r="D565" i="5"/>
  <c r="C565" i="5"/>
  <c r="B565" i="5"/>
  <c r="A565" i="5"/>
  <c r="H564" i="5"/>
  <c r="G564" i="5"/>
  <c r="F564" i="5"/>
  <c r="E564" i="5"/>
  <c r="D564" i="5"/>
  <c r="C564" i="5"/>
  <c r="B564" i="5"/>
  <c r="A564" i="5"/>
  <c r="H563" i="5"/>
  <c r="G563" i="5"/>
  <c r="F563" i="5"/>
  <c r="E563" i="5"/>
  <c r="D563" i="5"/>
  <c r="C563" i="5"/>
  <c r="B563" i="5"/>
  <c r="A563" i="5"/>
  <c r="H562" i="5"/>
  <c r="G562" i="5"/>
  <c r="F562" i="5"/>
  <c r="E562" i="5"/>
  <c r="D562" i="5"/>
  <c r="C562" i="5"/>
  <c r="B562" i="5"/>
  <c r="A562" i="5"/>
  <c r="H561" i="5"/>
  <c r="G561" i="5"/>
  <c r="F561" i="5"/>
  <c r="E561" i="5"/>
  <c r="D561" i="5"/>
  <c r="C561" i="5"/>
  <c r="B561" i="5"/>
  <c r="A561" i="5"/>
  <c r="H560" i="5"/>
  <c r="G560" i="5"/>
  <c r="F560" i="5"/>
  <c r="E560" i="5"/>
  <c r="D560" i="5"/>
  <c r="C560" i="5"/>
  <c r="B560" i="5"/>
  <c r="A560" i="5"/>
  <c r="H559" i="5"/>
  <c r="G559" i="5"/>
  <c r="F559" i="5"/>
  <c r="E559" i="5"/>
  <c r="D559" i="5"/>
  <c r="C559" i="5"/>
  <c r="B559" i="5"/>
  <c r="A559" i="5"/>
  <c r="H558" i="5"/>
  <c r="G558" i="5"/>
  <c r="F558" i="5"/>
  <c r="E558" i="5"/>
  <c r="D558" i="5"/>
  <c r="C558" i="5"/>
  <c r="B558" i="5"/>
  <c r="A558" i="5"/>
  <c r="H557" i="5"/>
  <c r="G557" i="5"/>
  <c r="F557" i="5"/>
  <c r="E557" i="5"/>
  <c r="D557" i="5"/>
  <c r="C557" i="5"/>
  <c r="B557" i="5"/>
  <c r="A557" i="5"/>
  <c r="H556" i="5"/>
  <c r="G556" i="5"/>
  <c r="F556" i="5"/>
  <c r="E556" i="5"/>
  <c r="D556" i="5"/>
  <c r="C556" i="5"/>
  <c r="B556" i="5"/>
  <c r="A556" i="5"/>
  <c r="H555" i="5"/>
  <c r="G555" i="5"/>
  <c r="F555" i="5"/>
  <c r="E555" i="5"/>
  <c r="D555" i="5"/>
  <c r="C555" i="5"/>
  <c r="B555" i="5"/>
  <c r="A555" i="5"/>
  <c r="H554" i="5"/>
  <c r="G554" i="5"/>
  <c r="F554" i="5"/>
  <c r="E554" i="5"/>
  <c r="D554" i="5"/>
  <c r="C554" i="5"/>
  <c r="B554" i="5"/>
  <c r="A554" i="5"/>
  <c r="H553" i="5"/>
  <c r="G553" i="5"/>
  <c r="F553" i="5"/>
  <c r="E553" i="5"/>
  <c r="D553" i="5"/>
  <c r="C553" i="5"/>
  <c r="B553" i="5"/>
  <c r="A553" i="5"/>
  <c r="H552" i="5"/>
  <c r="G552" i="5"/>
  <c r="F552" i="5"/>
  <c r="E552" i="5"/>
  <c r="D552" i="5"/>
  <c r="C552" i="5"/>
  <c r="B552" i="5"/>
  <c r="A552" i="5"/>
  <c r="H551" i="5"/>
  <c r="G551" i="5"/>
  <c r="F551" i="5"/>
  <c r="E551" i="5"/>
  <c r="D551" i="5"/>
  <c r="C551" i="5"/>
  <c r="B551" i="5"/>
  <c r="A551" i="5"/>
  <c r="H550" i="5"/>
  <c r="G550" i="5"/>
  <c r="F550" i="5"/>
  <c r="E550" i="5"/>
  <c r="D550" i="5"/>
  <c r="C550" i="5"/>
  <c r="B550" i="5"/>
  <c r="A550" i="5"/>
  <c r="H549" i="5"/>
  <c r="G549" i="5"/>
  <c r="F549" i="5"/>
  <c r="E549" i="5"/>
  <c r="D549" i="5"/>
  <c r="C549" i="5"/>
  <c r="B549" i="5"/>
  <c r="A549" i="5"/>
  <c r="H548" i="5"/>
  <c r="G548" i="5"/>
  <c r="F548" i="5"/>
  <c r="E548" i="5"/>
  <c r="D548" i="5"/>
  <c r="C548" i="5"/>
  <c r="B548" i="5"/>
  <c r="A548" i="5"/>
  <c r="H547" i="5"/>
  <c r="G547" i="5"/>
  <c r="F547" i="5"/>
  <c r="E547" i="5"/>
  <c r="D547" i="5"/>
  <c r="C547" i="5"/>
  <c r="B547" i="5"/>
  <c r="A547" i="5"/>
  <c r="H546" i="5"/>
  <c r="G546" i="5"/>
  <c r="F546" i="5"/>
  <c r="E546" i="5"/>
  <c r="D546" i="5"/>
  <c r="C546" i="5"/>
  <c r="B546" i="5"/>
  <c r="A546" i="5"/>
  <c r="H545" i="5"/>
  <c r="G545" i="5"/>
  <c r="F545" i="5"/>
  <c r="E545" i="5"/>
  <c r="D545" i="5"/>
  <c r="C545" i="5"/>
  <c r="B545" i="5"/>
  <c r="A545" i="5"/>
  <c r="H544" i="5"/>
  <c r="G544" i="5"/>
  <c r="F544" i="5"/>
  <c r="E544" i="5"/>
  <c r="D544" i="5"/>
  <c r="C544" i="5"/>
  <c r="B544" i="5"/>
  <c r="A544" i="5"/>
  <c r="H543" i="5"/>
  <c r="G543" i="5"/>
  <c r="F543" i="5"/>
  <c r="E543" i="5"/>
  <c r="D543" i="5"/>
  <c r="C543" i="5"/>
  <c r="B543" i="5"/>
  <c r="A543" i="5"/>
  <c r="H542" i="5"/>
  <c r="G542" i="5"/>
  <c r="F542" i="5"/>
  <c r="E542" i="5"/>
  <c r="D542" i="5"/>
  <c r="C542" i="5"/>
  <c r="B542" i="5"/>
  <c r="A542" i="5"/>
  <c r="H541" i="5"/>
  <c r="G541" i="5"/>
  <c r="F541" i="5"/>
  <c r="E541" i="5"/>
  <c r="D541" i="5"/>
  <c r="C541" i="5"/>
  <c r="B541" i="5"/>
  <c r="A541" i="5"/>
  <c r="H540" i="5"/>
  <c r="G540" i="5"/>
  <c r="F540" i="5"/>
  <c r="E540" i="5"/>
  <c r="D540" i="5"/>
  <c r="C540" i="5"/>
  <c r="B540" i="5"/>
  <c r="A540" i="5"/>
  <c r="H539" i="5"/>
  <c r="G539" i="5"/>
  <c r="F539" i="5"/>
  <c r="E539" i="5"/>
  <c r="D539" i="5"/>
  <c r="C539" i="5"/>
  <c r="B539" i="5"/>
  <c r="A539" i="5"/>
  <c r="H538" i="5"/>
  <c r="G538" i="5"/>
  <c r="F538" i="5"/>
  <c r="E538" i="5"/>
  <c r="D538" i="5"/>
  <c r="C538" i="5"/>
  <c r="B538" i="5"/>
  <c r="A538" i="5"/>
  <c r="H537" i="5"/>
  <c r="G537" i="5"/>
  <c r="F537" i="5"/>
  <c r="E537" i="5"/>
  <c r="D537" i="5"/>
  <c r="C537" i="5"/>
  <c r="B537" i="5"/>
  <c r="A537" i="5"/>
  <c r="H536" i="5"/>
  <c r="G536" i="5"/>
  <c r="F536" i="5"/>
  <c r="E536" i="5"/>
  <c r="D536" i="5"/>
  <c r="C536" i="5"/>
  <c r="B536" i="5"/>
  <c r="A536" i="5"/>
  <c r="H535" i="5"/>
  <c r="G535" i="5"/>
  <c r="F535" i="5"/>
  <c r="E535" i="5"/>
  <c r="D535" i="5"/>
  <c r="C535" i="5"/>
  <c r="B535" i="5"/>
  <c r="A535" i="5"/>
  <c r="H534" i="5"/>
  <c r="G534" i="5"/>
  <c r="F534" i="5"/>
  <c r="E534" i="5"/>
  <c r="D534" i="5"/>
  <c r="C534" i="5"/>
  <c r="B534" i="5"/>
  <c r="A534" i="5"/>
  <c r="H533" i="5"/>
  <c r="G533" i="5"/>
  <c r="F533" i="5"/>
  <c r="E533" i="5"/>
  <c r="D533" i="5"/>
  <c r="C533" i="5"/>
  <c r="B533" i="5"/>
  <c r="A533" i="5"/>
  <c r="H532" i="5"/>
  <c r="G532" i="5"/>
  <c r="F532" i="5"/>
  <c r="E532" i="5"/>
  <c r="D532" i="5"/>
  <c r="C532" i="5"/>
  <c r="B532" i="5"/>
  <c r="A532" i="5"/>
  <c r="H531" i="5"/>
  <c r="G531" i="5"/>
  <c r="F531" i="5"/>
  <c r="E531" i="5"/>
  <c r="D531" i="5"/>
  <c r="C531" i="5"/>
  <c r="B531" i="5"/>
  <c r="A531" i="5"/>
  <c r="H530" i="5"/>
  <c r="G530" i="5"/>
  <c r="F530" i="5"/>
  <c r="E530" i="5"/>
  <c r="D530" i="5"/>
  <c r="C530" i="5"/>
  <c r="B530" i="5"/>
  <c r="A530" i="5"/>
  <c r="H529" i="5"/>
  <c r="G529" i="5"/>
  <c r="F529" i="5"/>
  <c r="E529" i="5"/>
  <c r="D529" i="5"/>
  <c r="C529" i="5"/>
  <c r="B529" i="5"/>
  <c r="A529" i="5"/>
  <c r="H528" i="5"/>
  <c r="G528" i="5"/>
  <c r="F528" i="5"/>
  <c r="E528" i="5"/>
  <c r="D528" i="5"/>
  <c r="C528" i="5"/>
  <c r="B528" i="5"/>
  <c r="A528" i="5"/>
  <c r="H527" i="5"/>
  <c r="G527" i="5"/>
  <c r="F527" i="5"/>
  <c r="E527" i="5"/>
  <c r="D527" i="5"/>
  <c r="C527" i="5"/>
  <c r="B527" i="5"/>
  <c r="A527" i="5"/>
  <c r="H526" i="5"/>
  <c r="G526" i="5"/>
  <c r="F526" i="5"/>
  <c r="E526" i="5"/>
  <c r="D526" i="5"/>
  <c r="C526" i="5"/>
  <c r="B526" i="5"/>
  <c r="A526" i="5"/>
  <c r="H525" i="5"/>
  <c r="G525" i="5"/>
  <c r="F525" i="5"/>
  <c r="E525" i="5"/>
  <c r="D525" i="5"/>
  <c r="C525" i="5"/>
  <c r="B525" i="5"/>
  <c r="A525" i="5"/>
  <c r="H524" i="5"/>
  <c r="G524" i="5"/>
  <c r="F524" i="5"/>
  <c r="E524" i="5"/>
  <c r="D524" i="5"/>
  <c r="C524" i="5"/>
  <c r="B524" i="5"/>
  <c r="A524" i="5"/>
  <c r="H523" i="5"/>
  <c r="G523" i="5"/>
  <c r="F523" i="5"/>
  <c r="E523" i="5"/>
  <c r="D523" i="5"/>
  <c r="C523" i="5"/>
  <c r="B523" i="5"/>
  <c r="A523" i="5"/>
  <c r="H522" i="5"/>
  <c r="G522" i="5"/>
  <c r="F522" i="5"/>
  <c r="E522" i="5"/>
  <c r="D522" i="5"/>
  <c r="C522" i="5"/>
  <c r="B522" i="5"/>
  <c r="A522" i="5"/>
  <c r="H521" i="5"/>
  <c r="G521" i="5"/>
  <c r="F521" i="5"/>
  <c r="E521" i="5"/>
  <c r="D521" i="5"/>
  <c r="C521" i="5"/>
  <c r="B521" i="5"/>
  <c r="A521" i="5"/>
  <c r="H520" i="5"/>
  <c r="G520" i="5"/>
  <c r="F520" i="5"/>
  <c r="E520" i="5"/>
  <c r="D520" i="5"/>
  <c r="C520" i="5"/>
  <c r="B520" i="5"/>
  <c r="A520" i="5"/>
  <c r="H519" i="5"/>
  <c r="G519" i="5"/>
  <c r="F519" i="5"/>
  <c r="E519" i="5"/>
  <c r="D519" i="5"/>
  <c r="C519" i="5"/>
  <c r="B519" i="5"/>
  <c r="A519" i="5"/>
  <c r="H518" i="5"/>
  <c r="G518" i="5"/>
  <c r="F518" i="5"/>
  <c r="E518" i="5"/>
  <c r="D518" i="5"/>
  <c r="C518" i="5"/>
  <c r="B518" i="5"/>
  <c r="A518" i="5"/>
  <c r="H517" i="5"/>
  <c r="G517" i="5"/>
  <c r="F517" i="5"/>
  <c r="E517" i="5"/>
  <c r="D517" i="5"/>
  <c r="C517" i="5"/>
  <c r="B517" i="5"/>
  <c r="A517" i="5"/>
  <c r="H516" i="5"/>
  <c r="G516" i="5"/>
  <c r="F516" i="5"/>
  <c r="E516" i="5"/>
  <c r="D516" i="5"/>
  <c r="C516" i="5"/>
  <c r="B516" i="5"/>
  <c r="A516" i="5"/>
  <c r="H515" i="5"/>
  <c r="G515" i="5"/>
  <c r="F515" i="5"/>
  <c r="E515" i="5"/>
  <c r="D515" i="5"/>
  <c r="C515" i="5"/>
  <c r="B515" i="5"/>
  <c r="A515" i="5"/>
  <c r="H514" i="5"/>
  <c r="G514" i="5"/>
  <c r="F514" i="5"/>
  <c r="E514" i="5"/>
  <c r="D514" i="5"/>
  <c r="C514" i="5"/>
  <c r="B514" i="5"/>
  <c r="A514" i="5"/>
  <c r="H513" i="5"/>
  <c r="G513" i="5"/>
  <c r="F513" i="5"/>
  <c r="E513" i="5"/>
  <c r="D513" i="5"/>
  <c r="C513" i="5"/>
  <c r="B513" i="5"/>
  <c r="A513" i="5"/>
  <c r="H512" i="5"/>
  <c r="G512" i="5"/>
  <c r="F512" i="5"/>
  <c r="E512" i="5"/>
  <c r="D512" i="5"/>
  <c r="C512" i="5"/>
  <c r="B512" i="5"/>
  <c r="A512" i="5"/>
  <c r="H511" i="5"/>
  <c r="G511" i="5"/>
  <c r="F511" i="5"/>
  <c r="E511" i="5"/>
  <c r="D511" i="5"/>
  <c r="C511" i="5"/>
  <c r="B511" i="5"/>
  <c r="A511" i="5"/>
  <c r="H510" i="5"/>
  <c r="G510" i="5"/>
  <c r="F510" i="5"/>
  <c r="E510" i="5"/>
  <c r="D510" i="5"/>
  <c r="C510" i="5"/>
  <c r="B510" i="5"/>
  <c r="A510" i="5"/>
  <c r="H509" i="5"/>
  <c r="G509" i="5"/>
  <c r="F509" i="5"/>
  <c r="E509" i="5"/>
  <c r="D509" i="5"/>
  <c r="C509" i="5"/>
  <c r="B509" i="5"/>
  <c r="A509" i="5"/>
  <c r="H508" i="5"/>
  <c r="G508" i="5"/>
  <c r="F508" i="5"/>
  <c r="E508" i="5"/>
  <c r="D508" i="5"/>
  <c r="C508" i="5"/>
  <c r="B508" i="5"/>
  <c r="A508" i="5"/>
  <c r="H507" i="5"/>
  <c r="G507" i="5"/>
  <c r="F507" i="5"/>
  <c r="E507" i="5"/>
  <c r="D507" i="5"/>
  <c r="C507" i="5"/>
  <c r="B507" i="5"/>
  <c r="A507" i="5"/>
  <c r="H506" i="5"/>
  <c r="G506" i="5"/>
  <c r="F506" i="5"/>
  <c r="E506" i="5"/>
  <c r="D506" i="5"/>
  <c r="C506" i="5"/>
  <c r="B506" i="5"/>
  <c r="A506" i="5"/>
  <c r="H505" i="5"/>
  <c r="G505" i="5"/>
  <c r="F505" i="5"/>
  <c r="E505" i="5"/>
  <c r="D505" i="5"/>
  <c r="C505" i="5"/>
  <c r="B505" i="5"/>
  <c r="A505" i="5"/>
  <c r="H504" i="5"/>
  <c r="G504" i="5"/>
  <c r="F504" i="5"/>
  <c r="E504" i="5"/>
  <c r="D504" i="5"/>
  <c r="C504" i="5"/>
  <c r="B504" i="5"/>
  <c r="A504" i="5"/>
  <c r="H503" i="5"/>
  <c r="G503" i="5"/>
  <c r="F503" i="5"/>
  <c r="E503" i="5"/>
  <c r="D503" i="5"/>
  <c r="C503" i="5"/>
  <c r="B503" i="5"/>
  <c r="A503" i="5"/>
  <c r="H502" i="5"/>
  <c r="G502" i="5"/>
  <c r="F502" i="5"/>
  <c r="E502" i="5"/>
  <c r="D502" i="5"/>
  <c r="C502" i="5"/>
  <c r="B502" i="5"/>
  <c r="A502" i="5"/>
  <c r="H501" i="5"/>
  <c r="G501" i="5"/>
  <c r="F501" i="5"/>
  <c r="E501" i="5"/>
  <c r="D501" i="5"/>
  <c r="C501" i="5"/>
  <c r="B501" i="5"/>
  <c r="A501" i="5"/>
  <c r="H500" i="5"/>
  <c r="G500" i="5"/>
  <c r="F500" i="5"/>
  <c r="E500" i="5"/>
  <c r="D500" i="5"/>
  <c r="C500" i="5"/>
  <c r="B500" i="5"/>
  <c r="A500" i="5"/>
  <c r="H499" i="5"/>
  <c r="G499" i="5"/>
  <c r="F499" i="5"/>
  <c r="E499" i="5"/>
  <c r="D499" i="5"/>
  <c r="C499" i="5"/>
  <c r="B499" i="5"/>
  <c r="A499" i="5"/>
  <c r="H498" i="5"/>
  <c r="G498" i="5"/>
  <c r="F498" i="5"/>
  <c r="E498" i="5"/>
  <c r="D498" i="5"/>
  <c r="C498" i="5"/>
  <c r="B498" i="5"/>
  <c r="A498" i="5"/>
  <c r="H497" i="5"/>
  <c r="G497" i="5"/>
  <c r="F497" i="5"/>
  <c r="E497" i="5"/>
  <c r="D497" i="5"/>
  <c r="C497" i="5"/>
  <c r="B497" i="5"/>
  <c r="A497" i="5"/>
  <c r="H496" i="5"/>
  <c r="G496" i="5"/>
  <c r="F496" i="5"/>
  <c r="E496" i="5"/>
  <c r="D496" i="5"/>
  <c r="C496" i="5"/>
  <c r="B496" i="5"/>
  <c r="A496" i="5"/>
  <c r="H495" i="5"/>
  <c r="G495" i="5"/>
  <c r="F495" i="5"/>
  <c r="E495" i="5"/>
  <c r="D495" i="5"/>
  <c r="C495" i="5"/>
  <c r="B495" i="5"/>
  <c r="A495" i="5"/>
  <c r="H494" i="5"/>
  <c r="G494" i="5"/>
  <c r="F494" i="5"/>
  <c r="E494" i="5"/>
  <c r="D494" i="5"/>
  <c r="C494" i="5"/>
  <c r="B494" i="5"/>
  <c r="A494" i="5"/>
  <c r="H493" i="5"/>
  <c r="G493" i="5"/>
  <c r="F493" i="5"/>
  <c r="E493" i="5"/>
  <c r="D493" i="5"/>
  <c r="C493" i="5"/>
  <c r="B493" i="5"/>
  <c r="A493" i="5"/>
  <c r="H492" i="5"/>
  <c r="G492" i="5"/>
  <c r="F492" i="5"/>
  <c r="E492" i="5"/>
  <c r="D492" i="5"/>
  <c r="C492" i="5"/>
  <c r="B492" i="5"/>
  <c r="A492" i="5"/>
  <c r="H491" i="5"/>
  <c r="G491" i="5"/>
  <c r="F491" i="5"/>
  <c r="E491" i="5"/>
  <c r="D491" i="5"/>
  <c r="C491" i="5"/>
  <c r="B491" i="5"/>
  <c r="A491" i="5"/>
  <c r="H490" i="5"/>
  <c r="G490" i="5"/>
  <c r="F490" i="5"/>
  <c r="E490" i="5"/>
  <c r="D490" i="5"/>
  <c r="C490" i="5"/>
  <c r="B490" i="5"/>
  <c r="A490" i="5"/>
  <c r="H489" i="5"/>
  <c r="G489" i="5"/>
  <c r="F489" i="5"/>
  <c r="E489" i="5"/>
  <c r="D489" i="5"/>
  <c r="C489" i="5"/>
  <c r="B489" i="5"/>
  <c r="A489" i="5"/>
  <c r="H488" i="5"/>
  <c r="G488" i="5"/>
  <c r="F488" i="5"/>
  <c r="E488" i="5"/>
  <c r="D488" i="5"/>
  <c r="C488" i="5"/>
  <c r="B488" i="5"/>
  <c r="A488" i="5"/>
  <c r="H487" i="5"/>
  <c r="G487" i="5"/>
  <c r="F487" i="5"/>
  <c r="E487" i="5"/>
  <c r="D487" i="5"/>
  <c r="C487" i="5"/>
  <c r="B487" i="5"/>
  <c r="A487" i="5"/>
  <c r="H486" i="5"/>
  <c r="G486" i="5"/>
  <c r="F486" i="5"/>
  <c r="E486" i="5"/>
  <c r="D486" i="5"/>
  <c r="C486" i="5"/>
  <c r="B486" i="5"/>
  <c r="A486" i="5"/>
  <c r="H485" i="5"/>
  <c r="G485" i="5"/>
  <c r="F485" i="5"/>
  <c r="E485" i="5"/>
  <c r="D485" i="5"/>
  <c r="C485" i="5"/>
  <c r="B485" i="5"/>
  <c r="A485" i="5"/>
  <c r="H484" i="5"/>
  <c r="G484" i="5"/>
  <c r="F484" i="5"/>
  <c r="E484" i="5"/>
  <c r="D484" i="5"/>
  <c r="C484" i="5"/>
  <c r="B484" i="5"/>
  <c r="A484" i="5"/>
  <c r="H483" i="5"/>
  <c r="G483" i="5"/>
  <c r="F483" i="5"/>
  <c r="E483" i="5"/>
  <c r="D483" i="5"/>
  <c r="C483" i="5"/>
  <c r="B483" i="5"/>
  <c r="A483" i="5"/>
  <c r="H482" i="5"/>
  <c r="G482" i="5"/>
  <c r="F482" i="5"/>
  <c r="E482" i="5"/>
  <c r="D482" i="5"/>
  <c r="C482" i="5"/>
  <c r="B482" i="5"/>
  <c r="A482" i="5"/>
  <c r="H481" i="5"/>
  <c r="G481" i="5"/>
  <c r="F481" i="5"/>
  <c r="E481" i="5"/>
  <c r="D481" i="5"/>
  <c r="C481" i="5"/>
  <c r="B481" i="5"/>
  <c r="A481" i="5"/>
  <c r="H480" i="5"/>
  <c r="G480" i="5"/>
  <c r="F480" i="5"/>
  <c r="E480" i="5"/>
  <c r="D480" i="5"/>
  <c r="C480" i="5"/>
  <c r="B480" i="5"/>
  <c r="A480" i="5"/>
  <c r="H479" i="5"/>
  <c r="G479" i="5"/>
  <c r="F479" i="5"/>
  <c r="E479" i="5"/>
  <c r="D479" i="5"/>
  <c r="C479" i="5"/>
  <c r="B479" i="5"/>
  <c r="A479" i="5"/>
  <c r="H478" i="5"/>
  <c r="G478" i="5"/>
  <c r="F478" i="5"/>
  <c r="E478" i="5"/>
  <c r="D478" i="5"/>
  <c r="C478" i="5"/>
  <c r="B478" i="5"/>
  <c r="A478" i="5"/>
  <c r="H477" i="5"/>
  <c r="G477" i="5"/>
  <c r="F477" i="5"/>
  <c r="E477" i="5"/>
  <c r="D477" i="5"/>
  <c r="C477" i="5"/>
  <c r="B477" i="5"/>
  <c r="A477" i="5"/>
  <c r="H476" i="5"/>
  <c r="G476" i="5"/>
  <c r="F476" i="5"/>
  <c r="E476" i="5"/>
  <c r="D476" i="5"/>
  <c r="C476" i="5"/>
  <c r="B476" i="5"/>
  <c r="A476" i="5"/>
  <c r="H475" i="5"/>
  <c r="G475" i="5"/>
  <c r="F475" i="5"/>
  <c r="E475" i="5"/>
  <c r="D475" i="5"/>
  <c r="C475" i="5"/>
  <c r="B475" i="5"/>
  <c r="A475" i="5"/>
  <c r="H474" i="5"/>
  <c r="G474" i="5"/>
  <c r="F474" i="5"/>
  <c r="E474" i="5"/>
  <c r="D474" i="5"/>
  <c r="C474" i="5"/>
  <c r="B474" i="5"/>
  <c r="A474" i="5"/>
  <c r="H473" i="5"/>
  <c r="G473" i="5"/>
  <c r="F473" i="5"/>
  <c r="E473" i="5"/>
  <c r="D473" i="5"/>
  <c r="C473" i="5"/>
  <c r="B473" i="5"/>
  <c r="A473" i="5"/>
  <c r="H472" i="5"/>
  <c r="G472" i="5"/>
  <c r="F472" i="5"/>
  <c r="E472" i="5"/>
  <c r="D472" i="5"/>
  <c r="C472" i="5"/>
  <c r="B472" i="5"/>
  <c r="A472" i="5"/>
  <c r="H471" i="5"/>
  <c r="G471" i="5"/>
  <c r="F471" i="5"/>
  <c r="E471" i="5"/>
  <c r="D471" i="5"/>
  <c r="C471" i="5"/>
  <c r="B471" i="5"/>
  <c r="A471" i="5"/>
  <c r="H470" i="5"/>
  <c r="G470" i="5"/>
  <c r="F470" i="5"/>
  <c r="E470" i="5"/>
  <c r="D470" i="5"/>
  <c r="C470" i="5"/>
  <c r="B470" i="5"/>
  <c r="A470" i="5"/>
  <c r="H469" i="5"/>
  <c r="G469" i="5"/>
  <c r="F469" i="5"/>
  <c r="E469" i="5"/>
  <c r="D469" i="5"/>
  <c r="C469" i="5"/>
  <c r="B469" i="5"/>
  <c r="A469" i="5"/>
  <c r="H468" i="5"/>
  <c r="G468" i="5"/>
  <c r="F468" i="5"/>
  <c r="E468" i="5"/>
  <c r="D468" i="5"/>
  <c r="C468" i="5"/>
  <c r="B468" i="5"/>
  <c r="A468" i="5"/>
  <c r="H467" i="5"/>
  <c r="G467" i="5"/>
  <c r="F467" i="5"/>
  <c r="E467" i="5"/>
  <c r="D467" i="5"/>
  <c r="C467" i="5"/>
  <c r="B467" i="5"/>
  <c r="A467" i="5"/>
  <c r="H466" i="5"/>
  <c r="G466" i="5"/>
  <c r="F466" i="5"/>
  <c r="E466" i="5"/>
  <c r="D466" i="5"/>
  <c r="C466" i="5"/>
  <c r="B466" i="5"/>
  <c r="A466" i="5"/>
  <c r="H465" i="5"/>
  <c r="G465" i="5"/>
  <c r="F465" i="5"/>
  <c r="E465" i="5"/>
  <c r="D465" i="5"/>
  <c r="C465" i="5"/>
  <c r="B465" i="5"/>
  <c r="A465" i="5"/>
  <c r="H464" i="5"/>
  <c r="G464" i="5"/>
  <c r="F464" i="5"/>
  <c r="E464" i="5"/>
  <c r="D464" i="5"/>
  <c r="C464" i="5"/>
  <c r="B464" i="5"/>
  <c r="A464" i="5"/>
  <c r="H463" i="5"/>
  <c r="G463" i="5"/>
  <c r="F463" i="5"/>
  <c r="E463" i="5"/>
  <c r="D463" i="5"/>
  <c r="C463" i="5"/>
  <c r="B463" i="5"/>
  <c r="A463" i="5"/>
  <c r="H462" i="5"/>
  <c r="G462" i="5"/>
  <c r="F462" i="5"/>
  <c r="E462" i="5"/>
  <c r="D462" i="5"/>
  <c r="C462" i="5"/>
  <c r="B462" i="5"/>
  <c r="A462" i="5"/>
  <c r="H461" i="5"/>
  <c r="G461" i="5"/>
  <c r="F461" i="5"/>
  <c r="E461" i="5"/>
  <c r="D461" i="5"/>
  <c r="C461" i="5"/>
  <c r="B461" i="5"/>
  <c r="A461" i="5"/>
  <c r="H460" i="5"/>
  <c r="G460" i="5"/>
  <c r="F460" i="5"/>
  <c r="E460" i="5"/>
  <c r="D460" i="5"/>
  <c r="C460" i="5"/>
  <c r="B460" i="5"/>
  <c r="A460" i="5"/>
  <c r="H459" i="5"/>
  <c r="G459" i="5"/>
  <c r="F459" i="5"/>
  <c r="E459" i="5"/>
  <c r="D459" i="5"/>
  <c r="C459" i="5"/>
  <c r="B459" i="5"/>
  <c r="A459" i="5"/>
  <c r="H458" i="5"/>
  <c r="G458" i="5"/>
  <c r="F458" i="5"/>
  <c r="E458" i="5"/>
  <c r="D458" i="5"/>
  <c r="C458" i="5"/>
  <c r="B458" i="5"/>
  <c r="A458" i="5"/>
  <c r="H457" i="5"/>
  <c r="G457" i="5"/>
  <c r="F457" i="5"/>
  <c r="E457" i="5"/>
  <c r="D457" i="5"/>
  <c r="C457" i="5"/>
  <c r="B457" i="5"/>
  <c r="A457" i="5"/>
  <c r="H456" i="5"/>
  <c r="G456" i="5"/>
  <c r="F456" i="5"/>
  <c r="E456" i="5"/>
  <c r="D456" i="5"/>
  <c r="C456" i="5"/>
  <c r="B456" i="5"/>
  <c r="A456" i="5"/>
  <c r="H455" i="5"/>
  <c r="G455" i="5"/>
  <c r="F455" i="5"/>
  <c r="E455" i="5"/>
  <c r="D455" i="5"/>
  <c r="C455" i="5"/>
  <c r="B455" i="5"/>
  <c r="A455" i="5"/>
  <c r="H454" i="5"/>
  <c r="G454" i="5"/>
  <c r="F454" i="5"/>
  <c r="E454" i="5"/>
  <c r="D454" i="5"/>
  <c r="C454" i="5"/>
  <c r="B454" i="5"/>
  <c r="A454" i="5"/>
  <c r="H453" i="5"/>
  <c r="G453" i="5"/>
  <c r="F453" i="5"/>
  <c r="E453" i="5"/>
  <c r="D453" i="5"/>
  <c r="C453" i="5"/>
  <c r="B453" i="5"/>
  <c r="A453" i="5"/>
  <c r="H452" i="5"/>
  <c r="G452" i="5"/>
  <c r="F452" i="5"/>
  <c r="E452" i="5"/>
  <c r="D452" i="5"/>
  <c r="C452" i="5"/>
  <c r="B452" i="5"/>
  <c r="A452" i="5"/>
  <c r="H451" i="5"/>
  <c r="G451" i="5"/>
  <c r="F451" i="5"/>
  <c r="E451" i="5"/>
  <c r="D451" i="5"/>
  <c r="C451" i="5"/>
  <c r="B451" i="5"/>
  <c r="A451" i="5"/>
  <c r="H450" i="5"/>
  <c r="G450" i="5"/>
  <c r="F450" i="5"/>
  <c r="E450" i="5"/>
  <c r="D450" i="5"/>
  <c r="C450" i="5"/>
  <c r="B450" i="5"/>
  <c r="A450" i="5"/>
  <c r="H449" i="5"/>
  <c r="G449" i="5"/>
  <c r="F449" i="5"/>
  <c r="E449" i="5"/>
  <c r="D449" i="5"/>
  <c r="C449" i="5"/>
  <c r="B449" i="5"/>
  <c r="A449" i="5"/>
  <c r="H448" i="5"/>
  <c r="G448" i="5"/>
  <c r="F448" i="5"/>
  <c r="E448" i="5"/>
  <c r="D448" i="5"/>
  <c r="C448" i="5"/>
  <c r="B448" i="5"/>
  <c r="A448" i="5"/>
  <c r="H447" i="5"/>
  <c r="G447" i="5"/>
  <c r="F447" i="5"/>
  <c r="E447" i="5"/>
  <c r="D447" i="5"/>
  <c r="C447" i="5"/>
  <c r="B447" i="5"/>
  <c r="A447" i="5"/>
  <c r="H446" i="5"/>
  <c r="G446" i="5"/>
  <c r="F446" i="5"/>
  <c r="E446" i="5"/>
  <c r="D446" i="5"/>
  <c r="C446" i="5"/>
  <c r="B446" i="5"/>
  <c r="A446" i="5"/>
  <c r="H445" i="5"/>
  <c r="G445" i="5"/>
  <c r="F445" i="5"/>
  <c r="E445" i="5"/>
  <c r="D445" i="5"/>
  <c r="C445" i="5"/>
  <c r="B445" i="5"/>
  <c r="A445" i="5"/>
  <c r="H444" i="5"/>
  <c r="G444" i="5"/>
  <c r="F444" i="5"/>
  <c r="E444" i="5"/>
  <c r="D444" i="5"/>
  <c r="C444" i="5"/>
  <c r="B444" i="5"/>
  <c r="A444" i="5"/>
  <c r="H443" i="5"/>
  <c r="G443" i="5"/>
  <c r="F443" i="5"/>
  <c r="E443" i="5"/>
  <c r="D443" i="5"/>
  <c r="C443" i="5"/>
  <c r="B443" i="5"/>
  <c r="A443" i="5"/>
  <c r="H442" i="5"/>
  <c r="G442" i="5"/>
  <c r="F442" i="5"/>
  <c r="E442" i="5"/>
  <c r="D442" i="5"/>
  <c r="C442" i="5"/>
  <c r="B442" i="5"/>
  <c r="A442" i="5"/>
  <c r="H441" i="5"/>
  <c r="G441" i="5"/>
  <c r="F441" i="5"/>
  <c r="E441" i="5"/>
  <c r="D441" i="5"/>
  <c r="C441" i="5"/>
  <c r="B441" i="5"/>
  <c r="A441" i="5"/>
  <c r="H440" i="5"/>
  <c r="G440" i="5"/>
  <c r="F440" i="5"/>
  <c r="E440" i="5"/>
  <c r="D440" i="5"/>
  <c r="C440" i="5"/>
  <c r="B440" i="5"/>
  <c r="A440" i="5"/>
  <c r="H439" i="5"/>
  <c r="G439" i="5"/>
  <c r="F439" i="5"/>
  <c r="E439" i="5"/>
  <c r="D439" i="5"/>
  <c r="C439" i="5"/>
  <c r="B439" i="5"/>
  <c r="A439" i="5"/>
  <c r="H438" i="5"/>
  <c r="G438" i="5"/>
  <c r="F438" i="5"/>
  <c r="E438" i="5"/>
  <c r="D438" i="5"/>
  <c r="C438" i="5"/>
  <c r="B438" i="5"/>
  <c r="A438" i="5"/>
  <c r="H437" i="5"/>
  <c r="G437" i="5"/>
  <c r="F437" i="5"/>
  <c r="E437" i="5"/>
  <c r="D437" i="5"/>
  <c r="C437" i="5"/>
  <c r="B437" i="5"/>
  <c r="A437" i="5"/>
  <c r="H436" i="5"/>
  <c r="G436" i="5"/>
  <c r="F436" i="5"/>
  <c r="E436" i="5"/>
  <c r="D436" i="5"/>
  <c r="C436" i="5"/>
  <c r="B436" i="5"/>
  <c r="A436" i="5"/>
  <c r="H435" i="5"/>
  <c r="G435" i="5"/>
  <c r="F435" i="5"/>
  <c r="E435" i="5"/>
  <c r="D435" i="5"/>
  <c r="C435" i="5"/>
  <c r="B435" i="5"/>
  <c r="A435" i="5"/>
  <c r="H434" i="5"/>
  <c r="G434" i="5"/>
  <c r="F434" i="5"/>
  <c r="E434" i="5"/>
  <c r="D434" i="5"/>
  <c r="C434" i="5"/>
  <c r="B434" i="5"/>
  <c r="A434" i="5"/>
  <c r="H433" i="5"/>
  <c r="G433" i="5"/>
  <c r="F433" i="5"/>
  <c r="E433" i="5"/>
  <c r="D433" i="5"/>
  <c r="C433" i="5"/>
  <c r="B433" i="5"/>
  <c r="A433" i="5"/>
  <c r="H432" i="5"/>
  <c r="G432" i="5"/>
  <c r="F432" i="5"/>
  <c r="E432" i="5"/>
  <c r="D432" i="5"/>
  <c r="C432" i="5"/>
  <c r="B432" i="5"/>
  <c r="A432" i="5"/>
  <c r="H431" i="5"/>
  <c r="G431" i="5"/>
  <c r="F431" i="5"/>
  <c r="E431" i="5"/>
  <c r="D431" i="5"/>
  <c r="C431" i="5"/>
  <c r="B431" i="5"/>
  <c r="A431" i="5"/>
  <c r="H430" i="5"/>
  <c r="G430" i="5"/>
  <c r="F430" i="5"/>
  <c r="E430" i="5"/>
  <c r="D430" i="5"/>
  <c r="C430" i="5"/>
  <c r="B430" i="5"/>
  <c r="A430" i="5"/>
  <c r="H429" i="5"/>
  <c r="G429" i="5"/>
  <c r="F429" i="5"/>
  <c r="E429" i="5"/>
  <c r="D429" i="5"/>
  <c r="C429" i="5"/>
  <c r="B429" i="5"/>
  <c r="A429" i="5"/>
  <c r="H428" i="5"/>
  <c r="G428" i="5"/>
  <c r="F428" i="5"/>
  <c r="E428" i="5"/>
  <c r="D428" i="5"/>
  <c r="C428" i="5"/>
  <c r="B428" i="5"/>
  <c r="A428" i="5"/>
  <c r="H427" i="5"/>
  <c r="G427" i="5"/>
  <c r="F427" i="5"/>
  <c r="E427" i="5"/>
  <c r="D427" i="5"/>
  <c r="C427" i="5"/>
  <c r="B427" i="5"/>
  <c r="A427" i="5"/>
  <c r="H426" i="5"/>
  <c r="G426" i="5"/>
  <c r="F426" i="5"/>
  <c r="E426" i="5"/>
  <c r="D426" i="5"/>
  <c r="C426" i="5"/>
  <c r="B426" i="5"/>
  <c r="A426" i="5"/>
  <c r="H425" i="5"/>
  <c r="G425" i="5"/>
  <c r="F425" i="5"/>
  <c r="E425" i="5"/>
  <c r="D425" i="5"/>
  <c r="C425" i="5"/>
  <c r="B425" i="5"/>
  <c r="A425" i="5"/>
  <c r="H424" i="5"/>
  <c r="G424" i="5"/>
  <c r="F424" i="5"/>
  <c r="E424" i="5"/>
  <c r="D424" i="5"/>
  <c r="C424" i="5"/>
  <c r="B424" i="5"/>
  <c r="A424" i="5"/>
  <c r="H423" i="5"/>
  <c r="G423" i="5"/>
  <c r="F423" i="5"/>
  <c r="E423" i="5"/>
  <c r="D423" i="5"/>
  <c r="C423" i="5"/>
  <c r="B423" i="5"/>
  <c r="A423" i="5"/>
  <c r="H422" i="5"/>
  <c r="G422" i="5"/>
  <c r="F422" i="5"/>
  <c r="E422" i="5"/>
  <c r="D422" i="5"/>
  <c r="C422" i="5"/>
  <c r="B422" i="5"/>
  <c r="A422" i="5"/>
  <c r="H421" i="5"/>
  <c r="G421" i="5"/>
  <c r="F421" i="5"/>
  <c r="E421" i="5"/>
  <c r="D421" i="5"/>
  <c r="C421" i="5"/>
  <c r="B421" i="5"/>
  <c r="A421" i="5"/>
  <c r="H420" i="5"/>
  <c r="G420" i="5"/>
  <c r="F420" i="5"/>
  <c r="E420" i="5"/>
  <c r="D420" i="5"/>
  <c r="C420" i="5"/>
  <c r="B420" i="5"/>
  <c r="A420" i="5"/>
  <c r="H419" i="5"/>
  <c r="G419" i="5"/>
  <c r="F419" i="5"/>
  <c r="E419" i="5"/>
  <c r="D419" i="5"/>
  <c r="C419" i="5"/>
  <c r="B419" i="5"/>
  <c r="A419" i="5"/>
  <c r="H418" i="5"/>
  <c r="G418" i="5"/>
  <c r="F418" i="5"/>
  <c r="E418" i="5"/>
  <c r="D418" i="5"/>
  <c r="C418" i="5"/>
  <c r="B418" i="5"/>
  <c r="A418" i="5"/>
  <c r="H417" i="5"/>
  <c r="G417" i="5"/>
  <c r="F417" i="5"/>
  <c r="E417" i="5"/>
  <c r="D417" i="5"/>
  <c r="C417" i="5"/>
  <c r="B417" i="5"/>
  <c r="A417" i="5"/>
  <c r="H416" i="5"/>
  <c r="G416" i="5"/>
  <c r="F416" i="5"/>
  <c r="E416" i="5"/>
  <c r="D416" i="5"/>
  <c r="C416" i="5"/>
  <c r="B416" i="5"/>
  <c r="A416" i="5"/>
  <c r="H415" i="5"/>
  <c r="G415" i="5"/>
  <c r="F415" i="5"/>
  <c r="E415" i="5"/>
  <c r="D415" i="5"/>
  <c r="C415" i="5"/>
  <c r="B415" i="5"/>
  <c r="A415" i="5"/>
  <c r="H414" i="5"/>
  <c r="G414" i="5"/>
  <c r="F414" i="5"/>
  <c r="E414" i="5"/>
  <c r="D414" i="5"/>
  <c r="C414" i="5"/>
  <c r="B414" i="5"/>
  <c r="A414" i="5"/>
  <c r="H413" i="5"/>
  <c r="G413" i="5"/>
  <c r="F413" i="5"/>
  <c r="E413" i="5"/>
  <c r="D413" i="5"/>
  <c r="C413" i="5"/>
  <c r="B413" i="5"/>
  <c r="A413" i="5"/>
  <c r="H412" i="5"/>
  <c r="G412" i="5"/>
  <c r="F412" i="5"/>
  <c r="E412" i="5"/>
  <c r="D412" i="5"/>
  <c r="C412" i="5"/>
  <c r="B412" i="5"/>
  <c r="A412" i="5"/>
  <c r="H411" i="5"/>
  <c r="G411" i="5"/>
  <c r="F411" i="5"/>
  <c r="E411" i="5"/>
  <c r="D411" i="5"/>
  <c r="C411" i="5"/>
  <c r="B411" i="5"/>
  <c r="A411" i="5"/>
  <c r="H410" i="5"/>
  <c r="G410" i="5"/>
  <c r="F410" i="5"/>
  <c r="E410" i="5"/>
  <c r="D410" i="5"/>
  <c r="C410" i="5"/>
  <c r="B410" i="5"/>
  <c r="A410" i="5"/>
  <c r="H409" i="5"/>
  <c r="G409" i="5"/>
  <c r="F409" i="5"/>
  <c r="E409" i="5"/>
  <c r="D409" i="5"/>
  <c r="C409" i="5"/>
  <c r="B409" i="5"/>
  <c r="A409" i="5"/>
  <c r="H408" i="5"/>
  <c r="G408" i="5"/>
  <c r="F408" i="5"/>
  <c r="E408" i="5"/>
  <c r="D408" i="5"/>
  <c r="C408" i="5"/>
  <c r="B408" i="5"/>
  <c r="A408" i="5"/>
  <c r="H407" i="5"/>
  <c r="G407" i="5"/>
  <c r="F407" i="5"/>
  <c r="E407" i="5"/>
  <c r="D407" i="5"/>
  <c r="C407" i="5"/>
  <c r="B407" i="5"/>
  <c r="A407" i="5"/>
  <c r="H406" i="5"/>
  <c r="G406" i="5"/>
  <c r="F406" i="5"/>
  <c r="E406" i="5"/>
  <c r="D406" i="5"/>
  <c r="C406" i="5"/>
  <c r="B406" i="5"/>
  <c r="A406" i="5"/>
  <c r="H405" i="5"/>
  <c r="G405" i="5"/>
  <c r="F405" i="5"/>
  <c r="E405" i="5"/>
  <c r="D405" i="5"/>
  <c r="C405" i="5"/>
  <c r="B405" i="5"/>
  <c r="A405" i="5"/>
  <c r="H404" i="5"/>
  <c r="G404" i="5"/>
  <c r="F404" i="5"/>
  <c r="E404" i="5"/>
  <c r="D404" i="5"/>
  <c r="C404" i="5"/>
  <c r="B404" i="5"/>
  <c r="A404" i="5"/>
  <c r="H403" i="5"/>
  <c r="G403" i="5"/>
  <c r="F403" i="5"/>
  <c r="E403" i="5"/>
  <c r="D403" i="5"/>
  <c r="C403" i="5"/>
  <c r="B403" i="5"/>
  <c r="A403" i="5"/>
  <c r="H402" i="5"/>
  <c r="G402" i="5"/>
  <c r="F402" i="5"/>
  <c r="E402" i="5"/>
  <c r="D402" i="5"/>
  <c r="C402" i="5"/>
  <c r="B402" i="5"/>
  <c r="A402" i="5"/>
  <c r="H401" i="5"/>
  <c r="G401" i="5"/>
  <c r="F401" i="5"/>
  <c r="E401" i="5"/>
  <c r="D401" i="5"/>
  <c r="C401" i="5"/>
  <c r="B401" i="5"/>
  <c r="A401" i="5"/>
  <c r="H400" i="5"/>
  <c r="G400" i="5"/>
  <c r="F400" i="5"/>
  <c r="E400" i="5"/>
  <c r="D400" i="5"/>
  <c r="C400" i="5"/>
  <c r="B400" i="5"/>
  <c r="A400" i="5"/>
  <c r="H399" i="5"/>
  <c r="G399" i="5"/>
  <c r="F399" i="5"/>
  <c r="E399" i="5"/>
  <c r="D399" i="5"/>
  <c r="C399" i="5"/>
  <c r="B399" i="5"/>
  <c r="A399" i="5"/>
  <c r="H398" i="5"/>
  <c r="G398" i="5"/>
  <c r="F398" i="5"/>
  <c r="E398" i="5"/>
  <c r="D398" i="5"/>
  <c r="C398" i="5"/>
  <c r="B398" i="5"/>
  <c r="A398" i="5"/>
  <c r="H397" i="5"/>
  <c r="G397" i="5"/>
  <c r="F397" i="5"/>
  <c r="E397" i="5"/>
  <c r="D397" i="5"/>
  <c r="C397" i="5"/>
  <c r="B397" i="5"/>
  <c r="A397" i="5"/>
  <c r="H396" i="5"/>
  <c r="G396" i="5"/>
  <c r="F396" i="5"/>
  <c r="E396" i="5"/>
  <c r="D396" i="5"/>
  <c r="C396" i="5"/>
  <c r="B396" i="5"/>
  <c r="A396" i="5"/>
  <c r="H395" i="5"/>
  <c r="G395" i="5"/>
  <c r="F395" i="5"/>
  <c r="E395" i="5"/>
  <c r="D395" i="5"/>
  <c r="C395" i="5"/>
  <c r="B395" i="5"/>
  <c r="A395" i="5"/>
  <c r="H394" i="5"/>
  <c r="G394" i="5"/>
  <c r="F394" i="5"/>
  <c r="E394" i="5"/>
  <c r="D394" i="5"/>
  <c r="C394" i="5"/>
  <c r="B394" i="5"/>
  <c r="A394" i="5"/>
  <c r="H393" i="5"/>
  <c r="G393" i="5"/>
  <c r="F393" i="5"/>
  <c r="E393" i="5"/>
  <c r="D393" i="5"/>
  <c r="C393" i="5"/>
  <c r="B393" i="5"/>
  <c r="A393" i="5"/>
  <c r="H392" i="5"/>
  <c r="G392" i="5"/>
  <c r="F392" i="5"/>
  <c r="E392" i="5"/>
  <c r="D392" i="5"/>
  <c r="C392" i="5"/>
  <c r="B392" i="5"/>
  <c r="A392" i="5"/>
  <c r="H391" i="5"/>
  <c r="G391" i="5"/>
  <c r="F391" i="5"/>
  <c r="E391" i="5"/>
  <c r="D391" i="5"/>
  <c r="C391" i="5"/>
  <c r="B391" i="5"/>
  <c r="A391" i="5"/>
  <c r="H390" i="5"/>
  <c r="G390" i="5"/>
  <c r="F390" i="5"/>
  <c r="E390" i="5"/>
  <c r="D390" i="5"/>
  <c r="C390" i="5"/>
  <c r="B390" i="5"/>
  <c r="A390" i="5"/>
  <c r="H389" i="5"/>
  <c r="G389" i="5"/>
  <c r="F389" i="5"/>
  <c r="E389" i="5"/>
  <c r="D389" i="5"/>
  <c r="C389" i="5"/>
  <c r="B389" i="5"/>
  <c r="A389" i="5"/>
  <c r="H388" i="5"/>
  <c r="G388" i="5"/>
  <c r="F388" i="5"/>
  <c r="E388" i="5"/>
  <c r="D388" i="5"/>
  <c r="C388" i="5"/>
  <c r="B388" i="5"/>
  <c r="A388" i="5"/>
  <c r="H387" i="5"/>
  <c r="G387" i="5"/>
  <c r="F387" i="5"/>
  <c r="E387" i="5"/>
  <c r="D387" i="5"/>
  <c r="C387" i="5"/>
  <c r="B387" i="5"/>
  <c r="A387" i="5"/>
  <c r="H386" i="5"/>
  <c r="G386" i="5"/>
  <c r="F386" i="5"/>
  <c r="E386" i="5"/>
  <c r="D386" i="5"/>
  <c r="C386" i="5"/>
  <c r="B386" i="5"/>
  <c r="A386" i="5"/>
  <c r="H385" i="5"/>
  <c r="G385" i="5"/>
  <c r="F385" i="5"/>
  <c r="E385" i="5"/>
  <c r="D385" i="5"/>
  <c r="C385" i="5"/>
  <c r="B385" i="5"/>
  <c r="A385" i="5"/>
  <c r="H384" i="5"/>
  <c r="G384" i="5"/>
  <c r="F384" i="5"/>
  <c r="E384" i="5"/>
  <c r="D384" i="5"/>
  <c r="C384" i="5"/>
  <c r="B384" i="5"/>
  <c r="A384" i="5"/>
  <c r="H383" i="5"/>
  <c r="G383" i="5"/>
  <c r="F383" i="5"/>
  <c r="E383" i="5"/>
  <c r="D383" i="5"/>
  <c r="C383" i="5"/>
  <c r="B383" i="5"/>
  <c r="A383" i="5"/>
  <c r="H382" i="5"/>
  <c r="G382" i="5"/>
  <c r="F382" i="5"/>
  <c r="E382" i="5"/>
  <c r="D382" i="5"/>
  <c r="C382" i="5"/>
  <c r="B382" i="5"/>
  <c r="A382" i="5"/>
  <c r="H381" i="5"/>
  <c r="G381" i="5"/>
  <c r="F381" i="5"/>
  <c r="E381" i="5"/>
  <c r="D381" i="5"/>
  <c r="C381" i="5"/>
  <c r="B381" i="5"/>
  <c r="A381" i="5"/>
  <c r="H380" i="5"/>
  <c r="G380" i="5"/>
  <c r="F380" i="5"/>
  <c r="E380" i="5"/>
  <c r="D380" i="5"/>
  <c r="C380" i="5"/>
  <c r="B380" i="5"/>
  <c r="A380" i="5"/>
  <c r="H379" i="5"/>
  <c r="G379" i="5"/>
  <c r="F379" i="5"/>
  <c r="E379" i="5"/>
  <c r="D379" i="5"/>
  <c r="C379" i="5"/>
  <c r="B379" i="5"/>
  <c r="A379" i="5"/>
  <c r="H378" i="5"/>
  <c r="G378" i="5"/>
  <c r="F378" i="5"/>
  <c r="E378" i="5"/>
  <c r="D378" i="5"/>
  <c r="C378" i="5"/>
  <c r="B378" i="5"/>
  <c r="A378" i="5"/>
  <c r="H377" i="5"/>
  <c r="G377" i="5"/>
  <c r="F377" i="5"/>
  <c r="E377" i="5"/>
  <c r="D377" i="5"/>
  <c r="C377" i="5"/>
  <c r="B377" i="5"/>
  <c r="A377" i="5"/>
  <c r="H376" i="5"/>
  <c r="G376" i="5"/>
  <c r="F376" i="5"/>
  <c r="E376" i="5"/>
  <c r="D376" i="5"/>
  <c r="C376" i="5"/>
  <c r="B376" i="5"/>
  <c r="A376" i="5"/>
  <c r="H375" i="5"/>
  <c r="G375" i="5"/>
  <c r="F375" i="5"/>
  <c r="E375" i="5"/>
  <c r="D375" i="5"/>
  <c r="C375" i="5"/>
  <c r="B375" i="5"/>
  <c r="A375" i="5"/>
  <c r="H374" i="5"/>
  <c r="G374" i="5"/>
  <c r="F374" i="5"/>
  <c r="E374" i="5"/>
  <c r="D374" i="5"/>
  <c r="C374" i="5"/>
  <c r="B374" i="5"/>
  <c r="A374" i="5"/>
  <c r="H373" i="5"/>
  <c r="G373" i="5"/>
  <c r="F373" i="5"/>
  <c r="E373" i="5"/>
  <c r="D373" i="5"/>
  <c r="C373" i="5"/>
  <c r="B373" i="5"/>
  <c r="A373" i="5"/>
  <c r="H372" i="5"/>
  <c r="G372" i="5"/>
  <c r="F372" i="5"/>
  <c r="E372" i="5"/>
  <c r="D372" i="5"/>
  <c r="C372" i="5"/>
  <c r="B372" i="5"/>
  <c r="A372" i="5"/>
  <c r="H371" i="5"/>
  <c r="G371" i="5"/>
  <c r="F371" i="5"/>
  <c r="E371" i="5"/>
  <c r="D371" i="5"/>
  <c r="C371" i="5"/>
  <c r="B371" i="5"/>
  <c r="A371" i="5"/>
  <c r="H370" i="5"/>
  <c r="G370" i="5"/>
  <c r="F370" i="5"/>
  <c r="E370" i="5"/>
  <c r="D370" i="5"/>
  <c r="C370" i="5"/>
  <c r="B370" i="5"/>
  <c r="A370" i="5"/>
  <c r="H369" i="5"/>
  <c r="G369" i="5"/>
  <c r="F369" i="5"/>
  <c r="E369" i="5"/>
  <c r="D369" i="5"/>
  <c r="C369" i="5"/>
  <c r="B369" i="5"/>
  <c r="A369" i="5"/>
  <c r="H368" i="5"/>
  <c r="G368" i="5"/>
  <c r="F368" i="5"/>
  <c r="E368" i="5"/>
  <c r="D368" i="5"/>
  <c r="C368" i="5"/>
  <c r="B368" i="5"/>
  <c r="A368" i="5"/>
  <c r="H367" i="5"/>
  <c r="G367" i="5"/>
  <c r="F367" i="5"/>
  <c r="E367" i="5"/>
  <c r="D367" i="5"/>
  <c r="C367" i="5"/>
  <c r="B367" i="5"/>
  <c r="A367" i="5"/>
  <c r="H366" i="5"/>
  <c r="G366" i="5"/>
  <c r="F366" i="5"/>
  <c r="E366" i="5"/>
  <c r="D366" i="5"/>
  <c r="C366" i="5"/>
  <c r="B366" i="5"/>
  <c r="A366" i="5"/>
  <c r="H365" i="5"/>
  <c r="G365" i="5"/>
  <c r="F365" i="5"/>
  <c r="E365" i="5"/>
  <c r="D365" i="5"/>
  <c r="C365" i="5"/>
  <c r="B365" i="5"/>
  <c r="A365" i="5"/>
  <c r="H364" i="5"/>
  <c r="G364" i="5"/>
  <c r="F364" i="5"/>
  <c r="E364" i="5"/>
  <c r="D364" i="5"/>
  <c r="C364" i="5"/>
  <c r="B364" i="5"/>
  <c r="A364" i="5"/>
  <c r="H363" i="5"/>
  <c r="G363" i="5"/>
  <c r="F363" i="5"/>
  <c r="E363" i="5"/>
  <c r="D363" i="5"/>
  <c r="C363" i="5"/>
  <c r="B363" i="5"/>
  <c r="A363" i="5"/>
  <c r="H362" i="5"/>
  <c r="G362" i="5"/>
  <c r="F362" i="5"/>
  <c r="E362" i="5"/>
  <c r="D362" i="5"/>
  <c r="C362" i="5"/>
  <c r="B362" i="5"/>
  <c r="A362" i="5"/>
  <c r="H361" i="5"/>
  <c r="G361" i="5"/>
  <c r="F361" i="5"/>
  <c r="E361" i="5"/>
  <c r="D361" i="5"/>
  <c r="C361" i="5"/>
  <c r="B361" i="5"/>
  <c r="A361" i="5"/>
  <c r="H360" i="5"/>
  <c r="G360" i="5"/>
  <c r="F360" i="5"/>
  <c r="E360" i="5"/>
  <c r="D360" i="5"/>
  <c r="C360" i="5"/>
  <c r="B360" i="5"/>
  <c r="A360" i="5"/>
  <c r="H359" i="5"/>
  <c r="G359" i="5"/>
  <c r="F359" i="5"/>
  <c r="E359" i="5"/>
  <c r="D359" i="5"/>
  <c r="C359" i="5"/>
  <c r="B359" i="5"/>
  <c r="A359" i="5"/>
  <c r="H358" i="5"/>
  <c r="G358" i="5"/>
  <c r="F358" i="5"/>
  <c r="E358" i="5"/>
  <c r="D358" i="5"/>
  <c r="C358" i="5"/>
  <c r="B358" i="5"/>
  <c r="A358" i="5"/>
  <c r="H357" i="5"/>
  <c r="G357" i="5"/>
  <c r="F357" i="5"/>
  <c r="E357" i="5"/>
  <c r="D357" i="5"/>
  <c r="C357" i="5"/>
  <c r="B357" i="5"/>
  <c r="A357" i="5"/>
  <c r="H356" i="5"/>
  <c r="G356" i="5"/>
  <c r="F356" i="5"/>
  <c r="E356" i="5"/>
  <c r="D356" i="5"/>
  <c r="C356" i="5"/>
  <c r="B356" i="5"/>
  <c r="A356" i="5"/>
  <c r="H355" i="5"/>
  <c r="G355" i="5"/>
  <c r="F355" i="5"/>
  <c r="E355" i="5"/>
  <c r="D355" i="5"/>
  <c r="C355" i="5"/>
  <c r="B355" i="5"/>
  <c r="A355" i="5"/>
  <c r="H354" i="5"/>
  <c r="G354" i="5"/>
  <c r="F354" i="5"/>
  <c r="E354" i="5"/>
  <c r="D354" i="5"/>
  <c r="C354" i="5"/>
  <c r="B354" i="5"/>
  <c r="A354" i="5"/>
  <c r="H353" i="5"/>
  <c r="G353" i="5"/>
  <c r="F353" i="5"/>
  <c r="E353" i="5"/>
  <c r="D353" i="5"/>
  <c r="C353" i="5"/>
  <c r="B353" i="5"/>
  <c r="A353" i="5"/>
  <c r="H352" i="5"/>
  <c r="G352" i="5"/>
  <c r="F352" i="5"/>
  <c r="E352" i="5"/>
  <c r="D352" i="5"/>
  <c r="C352" i="5"/>
  <c r="B352" i="5"/>
  <c r="A352" i="5"/>
  <c r="H351" i="5"/>
  <c r="G351" i="5"/>
  <c r="F351" i="5"/>
  <c r="E351" i="5"/>
  <c r="D351" i="5"/>
  <c r="C351" i="5"/>
  <c r="B351" i="5"/>
  <c r="A351" i="5"/>
  <c r="H350" i="5"/>
  <c r="G350" i="5"/>
  <c r="F350" i="5"/>
  <c r="E350" i="5"/>
  <c r="D350" i="5"/>
  <c r="C350" i="5"/>
  <c r="B350" i="5"/>
  <c r="A350" i="5"/>
  <c r="H349" i="5"/>
  <c r="G349" i="5"/>
  <c r="F349" i="5"/>
  <c r="E349" i="5"/>
  <c r="D349" i="5"/>
  <c r="C349" i="5"/>
  <c r="B349" i="5"/>
  <c r="A349" i="5"/>
  <c r="H348" i="5"/>
  <c r="G348" i="5"/>
  <c r="F348" i="5"/>
  <c r="E348" i="5"/>
  <c r="D348" i="5"/>
  <c r="C348" i="5"/>
  <c r="B348" i="5"/>
  <c r="A348" i="5"/>
  <c r="H347" i="5"/>
  <c r="G347" i="5"/>
  <c r="F347" i="5"/>
  <c r="E347" i="5"/>
  <c r="D347" i="5"/>
  <c r="C347" i="5"/>
  <c r="B347" i="5"/>
  <c r="A347" i="5"/>
  <c r="H346" i="5"/>
  <c r="G346" i="5"/>
  <c r="F346" i="5"/>
  <c r="E346" i="5"/>
  <c r="D346" i="5"/>
  <c r="C346" i="5"/>
  <c r="B346" i="5"/>
  <c r="A346" i="5"/>
  <c r="H345" i="5"/>
  <c r="G345" i="5"/>
  <c r="F345" i="5"/>
  <c r="E345" i="5"/>
  <c r="D345" i="5"/>
  <c r="C345" i="5"/>
  <c r="B345" i="5"/>
  <c r="A345" i="5"/>
  <c r="H344" i="5"/>
  <c r="G344" i="5"/>
  <c r="F344" i="5"/>
  <c r="E344" i="5"/>
  <c r="D344" i="5"/>
  <c r="C344" i="5"/>
  <c r="B344" i="5"/>
  <c r="A344" i="5"/>
  <c r="H343" i="5"/>
  <c r="G343" i="5"/>
  <c r="F343" i="5"/>
  <c r="E343" i="5"/>
  <c r="D343" i="5"/>
  <c r="C343" i="5"/>
  <c r="B343" i="5"/>
  <c r="A343" i="5"/>
  <c r="H342" i="5"/>
  <c r="G342" i="5"/>
  <c r="F342" i="5"/>
  <c r="E342" i="5"/>
  <c r="D342" i="5"/>
  <c r="C342" i="5"/>
  <c r="B342" i="5"/>
  <c r="A342" i="5"/>
  <c r="H341" i="5"/>
  <c r="G341" i="5"/>
  <c r="F341" i="5"/>
  <c r="E341" i="5"/>
  <c r="D341" i="5"/>
  <c r="C341" i="5"/>
  <c r="B341" i="5"/>
  <c r="A341" i="5"/>
  <c r="H340" i="5"/>
  <c r="G340" i="5"/>
  <c r="F340" i="5"/>
  <c r="E340" i="5"/>
  <c r="D340" i="5"/>
  <c r="C340" i="5"/>
  <c r="B340" i="5"/>
  <c r="A340" i="5"/>
  <c r="H339" i="5"/>
  <c r="G339" i="5"/>
  <c r="F339" i="5"/>
  <c r="E339" i="5"/>
  <c r="D339" i="5"/>
  <c r="C339" i="5"/>
  <c r="B339" i="5"/>
  <c r="A339" i="5"/>
  <c r="H338" i="5"/>
  <c r="G338" i="5"/>
  <c r="F338" i="5"/>
  <c r="E338" i="5"/>
  <c r="D338" i="5"/>
  <c r="C338" i="5"/>
  <c r="B338" i="5"/>
  <c r="A338" i="5"/>
  <c r="H337" i="5"/>
  <c r="G337" i="5"/>
  <c r="F337" i="5"/>
  <c r="E337" i="5"/>
  <c r="D337" i="5"/>
  <c r="C337" i="5"/>
  <c r="B337" i="5"/>
  <c r="A337" i="5"/>
  <c r="H336" i="5"/>
  <c r="G336" i="5"/>
  <c r="F336" i="5"/>
  <c r="E336" i="5"/>
  <c r="D336" i="5"/>
  <c r="C336" i="5"/>
  <c r="B336" i="5"/>
  <c r="A336" i="5"/>
  <c r="H335" i="5"/>
  <c r="G335" i="5"/>
  <c r="F335" i="5"/>
  <c r="E335" i="5"/>
  <c r="D335" i="5"/>
  <c r="C335" i="5"/>
  <c r="B335" i="5"/>
  <c r="A335" i="5"/>
  <c r="H334" i="5"/>
  <c r="G334" i="5"/>
  <c r="F334" i="5"/>
  <c r="E334" i="5"/>
  <c r="D334" i="5"/>
  <c r="C334" i="5"/>
  <c r="B334" i="5"/>
  <c r="A334" i="5"/>
  <c r="H333" i="5"/>
  <c r="G333" i="5"/>
  <c r="F333" i="5"/>
  <c r="E333" i="5"/>
  <c r="D333" i="5"/>
  <c r="C333" i="5"/>
  <c r="B333" i="5"/>
  <c r="A333" i="5"/>
  <c r="H332" i="5"/>
  <c r="G332" i="5"/>
  <c r="F332" i="5"/>
  <c r="E332" i="5"/>
  <c r="D332" i="5"/>
  <c r="C332" i="5"/>
  <c r="B332" i="5"/>
  <c r="A332" i="5"/>
  <c r="H331" i="5"/>
  <c r="G331" i="5"/>
  <c r="F331" i="5"/>
  <c r="E331" i="5"/>
  <c r="D331" i="5"/>
  <c r="C331" i="5"/>
  <c r="B331" i="5"/>
  <c r="A331" i="5"/>
  <c r="H330" i="5"/>
  <c r="G330" i="5"/>
  <c r="F330" i="5"/>
  <c r="E330" i="5"/>
  <c r="D330" i="5"/>
  <c r="C330" i="5"/>
  <c r="B330" i="5"/>
  <c r="A330" i="5"/>
  <c r="H329" i="5"/>
  <c r="G329" i="5"/>
  <c r="F329" i="5"/>
  <c r="E329" i="5"/>
  <c r="D329" i="5"/>
  <c r="C329" i="5"/>
  <c r="B329" i="5"/>
  <c r="A329" i="5"/>
  <c r="H328" i="5"/>
  <c r="G328" i="5"/>
  <c r="F328" i="5"/>
  <c r="E328" i="5"/>
  <c r="D328" i="5"/>
  <c r="C328" i="5"/>
  <c r="B328" i="5"/>
  <c r="A328" i="5"/>
  <c r="H327" i="5"/>
  <c r="G327" i="5"/>
  <c r="F327" i="5"/>
  <c r="E327" i="5"/>
  <c r="D327" i="5"/>
  <c r="C327" i="5"/>
  <c r="B327" i="5"/>
  <c r="A327" i="5"/>
  <c r="H326" i="5"/>
  <c r="G326" i="5"/>
  <c r="F326" i="5"/>
  <c r="E326" i="5"/>
  <c r="D326" i="5"/>
  <c r="C326" i="5"/>
  <c r="B326" i="5"/>
  <c r="A326" i="5"/>
  <c r="H325" i="5"/>
  <c r="G325" i="5"/>
  <c r="F325" i="5"/>
  <c r="E325" i="5"/>
  <c r="D325" i="5"/>
  <c r="C325" i="5"/>
  <c r="B325" i="5"/>
  <c r="A325" i="5"/>
  <c r="H324" i="5"/>
  <c r="G324" i="5"/>
  <c r="F324" i="5"/>
  <c r="E324" i="5"/>
  <c r="D324" i="5"/>
  <c r="C324" i="5"/>
  <c r="B324" i="5"/>
  <c r="A324" i="5"/>
  <c r="H323" i="5"/>
  <c r="G323" i="5"/>
  <c r="F323" i="5"/>
  <c r="E323" i="5"/>
  <c r="D323" i="5"/>
  <c r="C323" i="5"/>
  <c r="B323" i="5"/>
  <c r="A323" i="5"/>
  <c r="H322" i="5"/>
  <c r="G322" i="5"/>
  <c r="F322" i="5"/>
  <c r="E322" i="5"/>
  <c r="D322" i="5"/>
  <c r="C322" i="5"/>
  <c r="B322" i="5"/>
  <c r="A322" i="5"/>
  <c r="H321" i="5"/>
  <c r="G321" i="5"/>
  <c r="F321" i="5"/>
  <c r="E321" i="5"/>
  <c r="D321" i="5"/>
  <c r="C321" i="5"/>
  <c r="B321" i="5"/>
  <c r="A321" i="5"/>
  <c r="H320" i="5"/>
  <c r="G320" i="5"/>
  <c r="F320" i="5"/>
  <c r="E320" i="5"/>
  <c r="D320" i="5"/>
  <c r="C320" i="5"/>
  <c r="B320" i="5"/>
  <c r="A320" i="5"/>
  <c r="H319" i="5"/>
  <c r="G319" i="5"/>
  <c r="F319" i="5"/>
  <c r="E319" i="5"/>
  <c r="D319" i="5"/>
  <c r="C319" i="5"/>
  <c r="B319" i="5"/>
  <c r="A319" i="5"/>
  <c r="H318" i="5"/>
  <c r="G318" i="5"/>
  <c r="F318" i="5"/>
  <c r="E318" i="5"/>
  <c r="D318" i="5"/>
  <c r="C318" i="5"/>
  <c r="B318" i="5"/>
  <c r="A318" i="5"/>
  <c r="H317" i="5"/>
  <c r="G317" i="5"/>
  <c r="F317" i="5"/>
  <c r="E317" i="5"/>
  <c r="D317" i="5"/>
  <c r="C317" i="5"/>
  <c r="B317" i="5"/>
  <c r="A317" i="5"/>
  <c r="H316" i="5"/>
  <c r="G316" i="5"/>
  <c r="F316" i="5"/>
  <c r="E316" i="5"/>
  <c r="D316" i="5"/>
  <c r="C316" i="5"/>
  <c r="B316" i="5"/>
  <c r="A316" i="5"/>
  <c r="H315" i="5"/>
  <c r="G315" i="5"/>
  <c r="F315" i="5"/>
  <c r="E315" i="5"/>
  <c r="D315" i="5"/>
  <c r="C315" i="5"/>
  <c r="B315" i="5"/>
  <c r="A315" i="5"/>
  <c r="H314" i="5"/>
  <c r="G314" i="5"/>
  <c r="F314" i="5"/>
  <c r="E314" i="5"/>
  <c r="D314" i="5"/>
  <c r="C314" i="5"/>
  <c r="B314" i="5"/>
  <c r="A314" i="5"/>
  <c r="H313" i="5"/>
  <c r="G313" i="5"/>
  <c r="F313" i="5"/>
  <c r="E313" i="5"/>
  <c r="D313" i="5"/>
  <c r="C313" i="5"/>
  <c r="B313" i="5"/>
  <c r="A313" i="5"/>
  <c r="H312" i="5"/>
  <c r="G312" i="5"/>
  <c r="F312" i="5"/>
  <c r="E312" i="5"/>
  <c r="D312" i="5"/>
  <c r="C312" i="5"/>
  <c r="B312" i="5"/>
  <c r="A312" i="5"/>
  <c r="H311" i="5"/>
  <c r="G311" i="5"/>
  <c r="F311" i="5"/>
  <c r="E311" i="5"/>
  <c r="D311" i="5"/>
  <c r="C311" i="5"/>
  <c r="B311" i="5"/>
  <c r="A311" i="5"/>
  <c r="H310" i="5"/>
  <c r="G310" i="5"/>
  <c r="F310" i="5"/>
  <c r="E310" i="5"/>
  <c r="D310" i="5"/>
  <c r="C310" i="5"/>
  <c r="B310" i="5"/>
  <c r="A310" i="5"/>
  <c r="H309" i="5"/>
  <c r="G309" i="5"/>
  <c r="F309" i="5"/>
  <c r="E309" i="5"/>
  <c r="D309" i="5"/>
  <c r="C309" i="5"/>
  <c r="B309" i="5"/>
  <c r="A309" i="5"/>
  <c r="H308" i="5"/>
  <c r="G308" i="5"/>
  <c r="F308" i="5"/>
  <c r="E308" i="5"/>
  <c r="D308" i="5"/>
  <c r="C308" i="5"/>
  <c r="B308" i="5"/>
  <c r="A308" i="5"/>
  <c r="H307" i="5"/>
  <c r="G307" i="5"/>
  <c r="F307" i="5"/>
  <c r="E307" i="5"/>
  <c r="D307" i="5"/>
  <c r="C307" i="5"/>
  <c r="B307" i="5"/>
  <c r="A307" i="5"/>
  <c r="H306" i="5"/>
  <c r="G306" i="5"/>
  <c r="F306" i="5"/>
  <c r="E306" i="5"/>
  <c r="D306" i="5"/>
  <c r="C306" i="5"/>
  <c r="B306" i="5"/>
  <c r="A306" i="5"/>
  <c r="H305" i="5"/>
  <c r="G305" i="5"/>
  <c r="F305" i="5"/>
  <c r="E305" i="5"/>
  <c r="D305" i="5"/>
  <c r="C305" i="5"/>
  <c r="B305" i="5"/>
  <c r="A305" i="5"/>
  <c r="H304" i="5"/>
  <c r="G304" i="5"/>
  <c r="F304" i="5"/>
  <c r="E304" i="5"/>
  <c r="D304" i="5"/>
  <c r="C304" i="5"/>
  <c r="B304" i="5"/>
  <c r="A304" i="5"/>
  <c r="H303" i="5"/>
  <c r="G303" i="5"/>
  <c r="F303" i="5"/>
  <c r="E303" i="5"/>
  <c r="D303" i="5"/>
  <c r="C303" i="5"/>
  <c r="B303" i="5"/>
  <c r="A303" i="5"/>
  <c r="H302" i="5"/>
  <c r="G302" i="5"/>
  <c r="F302" i="5"/>
  <c r="E302" i="5"/>
  <c r="D302" i="5"/>
  <c r="C302" i="5"/>
  <c r="B302" i="5"/>
  <c r="A302" i="5"/>
  <c r="H301" i="5"/>
  <c r="G301" i="5"/>
  <c r="F301" i="5"/>
  <c r="E301" i="5"/>
  <c r="D301" i="5"/>
  <c r="C301" i="5"/>
  <c r="B301" i="5"/>
  <c r="A301" i="5"/>
  <c r="H300" i="5"/>
  <c r="G300" i="5"/>
  <c r="F300" i="5"/>
  <c r="E300" i="5"/>
  <c r="D300" i="5"/>
  <c r="C300" i="5"/>
  <c r="B300" i="5"/>
  <c r="A300" i="5"/>
  <c r="H299" i="5"/>
  <c r="G299" i="5"/>
  <c r="F299" i="5"/>
  <c r="E299" i="5"/>
  <c r="D299" i="5"/>
  <c r="C299" i="5"/>
  <c r="B299" i="5"/>
  <c r="A299" i="5"/>
  <c r="H298" i="5"/>
  <c r="G298" i="5"/>
  <c r="F298" i="5"/>
  <c r="E298" i="5"/>
  <c r="D298" i="5"/>
  <c r="C298" i="5"/>
  <c r="B298" i="5"/>
  <c r="A298" i="5"/>
  <c r="H297" i="5"/>
  <c r="G297" i="5"/>
  <c r="F297" i="5"/>
  <c r="E297" i="5"/>
  <c r="D297" i="5"/>
  <c r="C297" i="5"/>
  <c r="B297" i="5"/>
  <c r="A297" i="5"/>
  <c r="H296" i="5"/>
  <c r="G296" i="5"/>
  <c r="F296" i="5"/>
  <c r="E296" i="5"/>
  <c r="D296" i="5"/>
  <c r="C296" i="5"/>
  <c r="B296" i="5"/>
  <c r="A296" i="5"/>
  <c r="H295" i="5"/>
  <c r="G295" i="5"/>
  <c r="F295" i="5"/>
  <c r="E295" i="5"/>
  <c r="D295" i="5"/>
  <c r="C295" i="5"/>
  <c r="B295" i="5"/>
  <c r="A295" i="5"/>
  <c r="H294" i="5"/>
  <c r="G294" i="5"/>
  <c r="F294" i="5"/>
  <c r="E294" i="5"/>
  <c r="D294" i="5"/>
  <c r="C294" i="5"/>
  <c r="B294" i="5"/>
  <c r="A294" i="5"/>
  <c r="H293" i="5"/>
  <c r="G293" i="5"/>
  <c r="F293" i="5"/>
  <c r="E293" i="5"/>
  <c r="D293" i="5"/>
  <c r="C293" i="5"/>
  <c r="B293" i="5"/>
  <c r="A293" i="5"/>
  <c r="H292" i="5"/>
  <c r="G292" i="5"/>
  <c r="F292" i="5"/>
  <c r="E292" i="5"/>
  <c r="D292" i="5"/>
  <c r="C292" i="5"/>
  <c r="B292" i="5"/>
  <c r="A292" i="5"/>
  <c r="H291" i="5"/>
  <c r="G291" i="5"/>
  <c r="F291" i="5"/>
  <c r="E291" i="5"/>
  <c r="D291" i="5"/>
  <c r="C291" i="5"/>
  <c r="B291" i="5"/>
  <c r="A291" i="5"/>
  <c r="H290" i="5"/>
  <c r="G290" i="5"/>
  <c r="F290" i="5"/>
  <c r="E290" i="5"/>
  <c r="D290" i="5"/>
  <c r="C290" i="5"/>
  <c r="B290" i="5"/>
  <c r="A290" i="5"/>
  <c r="H289" i="5"/>
  <c r="G289" i="5"/>
  <c r="F289" i="5"/>
  <c r="E289" i="5"/>
  <c r="D289" i="5"/>
  <c r="C289" i="5"/>
  <c r="B289" i="5"/>
  <c r="A289" i="5"/>
  <c r="H288" i="5"/>
  <c r="G288" i="5"/>
  <c r="F288" i="5"/>
  <c r="E288" i="5"/>
  <c r="D288" i="5"/>
  <c r="C288" i="5"/>
  <c r="B288" i="5"/>
  <c r="A288" i="5"/>
  <c r="H287" i="5"/>
  <c r="G287" i="5"/>
  <c r="F287" i="5"/>
  <c r="E287" i="5"/>
  <c r="D287" i="5"/>
  <c r="C287" i="5"/>
  <c r="B287" i="5"/>
  <c r="A287" i="5"/>
  <c r="H286" i="5"/>
  <c r="G286" i="5"/>
  <c r="F286" i="5"/>
  <c r="E286" i="5"/>
  <c r="D286" i="5"/>
  <c r="C286" i="5"/>
  <c r="B286" i="5"/>
  <c r="A286" i="5"/>
  <c r="H285" i="5"/>
  <c r="G285" i="5"/>
  <c r="F285" i="5"/>
  <c r="E285" i="5"/>
  <c r="D285" i="5"/>
  <c r="C285" i="5"/>
  <c r="B285" i="5"/>
  <c r="A285" i="5"/>
  <c r="H284" i="5"/>
  <c r="G284" i="5"/>
  <c r="F284" i="5"/>
  <c r="E284" i="5"/>
  <c r="D284" i="5"/>
  <c r="C284" i="5"/>
  <c r="B284" i="5"/>
  <c r="A284" i="5"/>
  <c r="H283" i="5"/>
  <c r="G283" i="5"/>
  <c r="F283" i="5"/>
  <c r="E283" i="5"/>
  <c r="D283" i="5"/>
  <c r="C283" i="5"/>
  <c r="B283" i="5"/>
  <c r="A283" i="5"/>
  <c r="H282" i="5"/>
  <c r="G282" i="5"/>
  <c r="F282" i="5"/>
  <c r="E282" i="5"/>
  <c r="D282" i="5"/>
  <c r="C282" i="5"/>
  <c r="B282" i="5"/>
  <c r="A282" i="5"/>
  <c r="H281" i="5"/>
  <c r="G281" i="5"/>
  <c r="F281" i="5"/>
  <c r="E281" i="5"/>
  <c r="D281" i="5"/>
  <c r="C281" i="5"/>
  <c r="B281" i="5"/>
  <c r="A281" i="5"/>
  <c r="H280" i="5"/>
  <c r="G280" i="5"/>
  <c r="F280" i="5"/>
  <c r="E280" i="5"/>
  <c r="D280" i="5"/>
  <c r="C280" i="5"/>
  <c r="B280" i="5"/>
  <c r="A280" i="5"/>
  <c r="H279" i="5"/>
  <c r="G279" i="5"/>
  <c r="F279" i="5"/>
  <c r="E279" i="5"/>
  <c r="D279" i="5"/>
  <c r="C279" i="5"/>
  <c r="B279" i="5"/>
  <c r="A279" i="5"/>
  <c r="H278" i="5"/>
  <c r="G278" i="5"/>
  <c r="F278" i="5"/>
  <c r="E278" i="5"/>
  <c r="D278" i="5"/>
  <c r="C278" i="5"/>
  <c r="B278" i="5"/>
  <c r="A278" i="5"/>
  <c r="H277" i="5"/>
  <c r="G277" i="5"/>
  <c r="F277" i="5"/>
  <c r="E277" i="5"/>
  <c r="D277" i="5"/>
  <c r="C277" i="5"/>
  <c r="B277" i="5"/>
  <c r="A277" i="5"/>
  <c r="H276" i="5"/>
  <c r="G276" i="5"/>
  <c r="F276" i="5"/>
  <c r="E276" i="5"/>
  <c r="D276" i="5"/>
  <c r="C276" i="5"/>
  <c r="B276" i="5"/>
  <c r="A276" i="5"/>
  <c r="H275" i="5"/>
  <c r="G275" i="5"/>
  <c r="F275" i="5"/>
  <c r="E275" i="5"/>
  <c r="D275" i="5"/>
  <c r="C275" i="5"/>
  <c r="B275" i="5"/>
  <c r="A275" i="5"/>
  <c r="H274" i="5"/>
  <c r="G274" i="5"/>
  <c r="F274" i="5"/>
  <c r="E274" i="5"/>
  <c r="D274" i="5"/>
  <c r="C274" i="5"/>
  <c r="B274" i="5"/>
  <c r="A274" i="5"/>
  <c r="H273" i="5"/>
  <c r="G273" i="5"/>
  <c r="F273" i="5"/>
  <c r="E273" i="5"/>
  <c r="D273" i="5"/>
  <c r="C273" i="5"/>
  <c r="B273" i="5"/>
  <c r="A273" i="5"/>
  <c r="H272" i="5"/>
  <c r="G272" i="5"/>
  <c r="F272" i="5"/>
  <c r="E272" i="5"/>
  <c r="D272" i="5"/>
  <c r="C272" i="5"/>
  <c r="B272" i="5"/>
  <c r="A272" i="5"/>
  <c r="H271" i="5"/>
  <c r="G271" i="5"/>
  <c r="F271" i="5"/>
  <c r="E271" i="5"/>
  <c r="D271" i="5"/>
  <c r="C271" i="5"/>
  <c r="B271" i="5"/>
  <c r="A271" i="5"/>
  <c r="H270" i="5"/>
  <c r="G270" i="5"/>
  <c r="F270" i="5"/>
  <c r="E270" i="5"/>
  <c r="D270" i="5"/>
  <c r="C270" i="5"/>
  <c r="B270" i="5"/>
  <c r="A270" i="5"/>
  <c r="H269" i="5"/>
  <c r="G269" i="5"/>
  <c r="F269" i="5"/>
  <c r="E269" i="5"/>
  <c r="D269" i="5"/>
  <c r="C269" i="5"/>
  <c r="B269" i="5"/>
  <c r="A269" i="5"/>
  <c r="H268" i="5"/>
  <c r="G268" i="5"/>
  <c r="F268" i="5"/>
  <c r="E268" i="5"/>
  <c r="D268" i="5"/>
  <c r="C268" i="5"/>
  <c r="B268" i="5"/>
  <c r="A268" i="5"/>
  <c r="H267" i="5"/>
  <c r="G267" i="5"/>
  <c r="F267" i="5"/>
  <c r="E267" i="5"/>
  <c r="D267" i="5"/>
  <c r="C267" i="5"/>
  <c r="B267" i="5"/>
  <c r="A267" i="5"/>
  <c r="H266" i="5"/>
  <c r="G266" i="5"/>
  <c r="F266" i="5"/>
  <c r="E266" i="5"/>
  <c r="D266" i="5"/>
  <c r="C266" i="5"/>
  <c r="B266" i="5"/>
  <c r="A266" i="5"/>
  <c r="H265" i="5"/>
  <c r="G265" i="5"/>
  <c r="F265" i="5"/>
  <c r="E265" i="5"/>
  <c r="D265" i="5"/>
  <c r="C265" i="5"/>
  <c r="B265" i="5"/>
  <c r="A265" i="5"/>
  <c r="H264" i="5"/>
  <c r="G264" i="5"/>
  <c r="F264" i="5"/>
  <c r="E264" i="5"/>
  <c r="D264" i="5"/>
  <c r="C264" i="5"/>
  <c r="B264" i="5"/>
  <c r="A264" i="5"/>
  <c r="H263" i="5"/>
  <c r="G263" i="5"/>
  <c r="F263" i="5"/>
  <c r="E263" i="5"/>
  <c r="D263" i="5"/>
  <c r="C263" i="5"/>
  <c r="B263" i="5"/>
  <c r="A263" i="5"/>
  <c r="H262" i="5"/>
  <c r="G262" i="5"/>
  <c r="F262" i="5"/>
  <c r="E262" i="5"/>
  <c r="D262" i="5"/>
  <c r="C262" i="5"/>
  <c r="B262" i="5"/>
  <c r="A262" i="5"/>
  <c r="H261" i="5"/>
  <c r="G261" i="5"/>
  <c r="F261" i="5"/>
  <c r="E261" i="5"/>
  <c r="D261" i="5"/>
  <c r="C261" i="5"/>
  <c r="B261" i="5"/>
  <c r="A261" i="5"/>
  <c r="H260" i="5"/>
  <c r="G260" i="5"/>
  <c r="F260" i="5"/>
  <c r="E260" i="5"/>
  <c r="D260" i="5"/>
  <c r="C260" i="5"/>
  <c r="B260" i="5"/>
  <c r="A260" i="5"/>
  <c r="H259" i="5"/>
  <c r="G259" i="5"/>
  <c r="F259" i="5"/>
  <c r="E259" i="5"/>
  <c r="D259" i="5"/>
  <c r="C259" i="5"/>
  <c r="B259" i="5"/>
  <c r="A259" i="5"/>
  <c r="H258" i="5"/>
  <c r="G258" i="5"/>
  <c r="F258" i="5"/>
  <c r="E258" i="5"/>
  <c r="D258" i="5"/>
  <c r="C258" i="5"/>
  <c r="B258" i="5"/>
  <c r="A258" i="5"/>
  <c r="H257" i="5"/>
  <c r="G257" i="5"/>
  <c r="F257" i="5"/>
  <c r="E257" i="5"/>
  <c r="D257" i="5"/>
  <c r="C257" i="5"/>
  <c r="B257" i="5"/>
  <c r="A257" i="5"/>
  <c r="H256" i="5"/>
  <c r="G256" i="5"/>
  <c r="F256" i="5"/>
  <c r="E256" i="5"/>
  <c r="D256" i="5"/>
  <c r="C256" i="5"/>
  <c r="B256" i="5"/>
  <c r="A256" i="5"/>
  <c r="H255" i="5"/>
  <c r="G255" i="5"/>
  <c r="F255" i="5"/>
  <c r="E255" i="5"/>
  <c r="D255" i="5"/>
  <c r="C255" i="5"/>
  <c r="B255" i="5"/>
  <c r="A255" i="5"/>
  <c r="H254" i="5"/>
  <c r="G254" i="5"/>
  <c r="F254" i="5"/>
  <c r="E254" i="5"/>
  <c r="D254" i="5"/>
  <c r="C254" i="5"/>
  <c r="B254" i="5"/>
  <c r="A254" i="5"/>
  <c r="H253" i="5"/>
  <c r="G253" i="5"/>
  <c r="F253" i="5"/>
  <c r="E253" i="5"/>
  <c r="D253" i="5"/>
  <c r="C253" i="5"/>
  <c r="B253" i="5"/>
  <c r="A253" i="5"/>
  <c r="H252" i="5"/>
  <c r="G252" i="5"/>
  <c r="F252" i="5"/>
  <c r="E252" i="5"/>
  <c r="D252" i="5"/>
  <c r="C252" i="5"/>
  <c r="B252" i="5"/>
  <c r="A252" i="5"/>
  <c r="H251" i="5"/>
  <c r="G251" i="5"/>
  <c r="F251" i="5"/>
  <c r="E251" i="5"/>
  <c r="D251" i="5"/>
  <c r="C251" i="5"/>
  <c r="B251" i="5"/>
  <c r="A251" i="5"/>
  <c r="H250" i="5"/>
  <c r="G250" i="5"/>
  <c r="F250" i="5"/>
  <c r="E250" i="5"/>
  <c r="D250" i="5"/>
  <c r="C250" i="5"/>
  <c r="B250" i="5"/>
  <c r="A250" i="5"/>
  <c r="H249" i="5"/>
  <c r="G249" i="5"/>
  <c r="F249" i="5"/>
  <c r="E249" i="5"/>
  <c r="D249" i="5"/>
  <c r="C249" i="5"/>
  <c r="B249" i="5"/>
  <c r="A249" i="5"/>
  <c r="H248" i="5"/>
  <c r="G248" i="5"/>
  <c r="F248" i="5"/>
  <c r="E248" i="5"/>
  <c r="D248" i="5"/>
  <c r="C248" i="5"/>
  <c r="B248" i="5"/>
  <c r="A248" i="5"/>
  <c r="H247" i="5"/>
  <c r="G247" i="5"/>
  <c r="F247" i="5"/>
  <c r="E247" i="5"/>
  <c r="D247" i="5"/>
  <c r="C247" i="5"/>
  <c r="B247" i="5"/>
  <c r="A247" i="5"/>
  <c r="H246" i="5"/>
  <c r="G246" i="5"/>
  <c r="F246" i="5"/>
  <c r="E246" i="5"/>
  <c r="D246" i="5"/>
  <c r="C246" i="5"/>
  <c r="B246" i="5"/>
  <c r="A246" i="5"/>
  <c r="H245" i="5"/>
  <c r="G245" i="5"/>
  <c r="F245" i="5"/>
  <c r="E245" i="5"/>
  <c r="D245" i="5"/>
  <c r="C245" i="5"/>
  <c r="B245" i="5"/>
  <c r="A245" i="5"/>
  <c r="H244" i="5"/>
  <c r="G244" i="5"/>
  <c r="F244" i="5"/>
  <c r="E244" i="5"/>
  <c r="D244" i="5"/>
  <c r="C244" i="5"/>
  <c r="B244" i="5"/>
  <c r="A244" i="5"/>
  <c r="H243" i="5"/>
  <c r="G243" i="5"/>
  <c r="F243" i="5"/>
  <c r="E243" i="5"/>
  <c r="D243" i="5"/>
  <c r="C243" i="5"/>
  <c r="B243" i="5"/>
  <c r="A243" i="5"/>
  <c r="H242" i="5"/>
  <c r="G242" i="5"/>
  <c r="F242" i="5"/>
  <c r="E242" i="5"/>
  <c r="D242" i="5"/>
  <c r="C242" i="5"/>
  <c r="B242" i="5"/>
  <c r="A242" i="5"/>
  <c r="H241" i="5"/>
  <c r="G241" i="5"/>
  <c r="F241" i="5"/>
  <c r="E241" i="5"/>
  <c r="D241" i="5"/>
  <c r="C241" i="5"/>
  <c r="B241" i="5"/>
  <c r="A241" i="5"/>
  <c r="H240" i="5"/>
  <c r="G240" i="5"/>
  <c r="F240" i="5"/>
  <c r="E240" i="5"/>
  <c r="D240" i="5"/>
  <c r="C240" i="5"/>
  <c r="B240" i="5"/>
  <c r="A240" i="5"/>
  <c r="H239" i="5"/>
  <c r="G239" i="5"/>
  <c r="F239" i="5"/>
  <c r="E239" i="5"/>
  <c r="D239" i="5"/>
  <c r="C239" i="5"/>
  <c r="B239" i="5"/>
  <c r="A239" i="5"/>
  <c r="H238" i="5"/>
  <c r="G238" i="5"/>
  <c r="F238" i="5"/>
  <c r="E238" i="5"/>
  <c r="D238" i="5"/>
  <c r="C238" i="5"/>
  <c r="B238" i="5"/>
  <c r="A238" i="5"/>
  <c r="H237" i="5"/>
  <c r="G237" i="5"/>
  <c r="F237" i="5"/>
  <c r="E237" i="5"/>
  <c r="D237" i="5"/>
  <c r="C237" i="5"/>
  <c r="B237" i="5"/>
  <c r="A237" i="5"/>
  <c r="H236" i="5"/>
  <c r="G236" i="5"/>
  <c r="F236" i="5"/>
  <c r="E236" i="5"/>
  <c r="D236" i="5"/>
  <c r="C236" i="5"/>
  <c r="B236" i="5"/>
  <c r="A236" i="5"/>
  <c r="H235" i="5"/>
  <c r="G235" i="5"/>
  <c r="F235" i="5"/>
  <c r="E235" i="5"/>
  <c r="D235" i="5"/>
  <c r="C235" i="5"/>
  <c r="B235" i="5"/>
  <c r="A235" i="5"/>
  <c r="H234" i="5"/>
  <c r="G234" i="5"/>
  <c r="F234" i="5"/>
  <c r="E234" i="5"/>
  <c r="D234" i="5"/>
  <c r="C234" i="5"/>
  <c r="B234" i="5"/>
  <c r="A234" i="5"/>
  <c r="H233" i="5"/>
  <c r="G233" i="5"/>
  <c r="F233" i="5"/>
  <c r="E233" i="5"/>
  <c r="D233" i="5"/>
  <c r="C233" i="5"/>
  <c r="B233" i="5"/>
  <c r="A233" i="5"/>
  <c r="H232" i="5"/>
  <c r="G232" i="5"/>
  <c r="F232" i="5"/>
  <c r="E232" i="5"/>
  <c r="D232" i="5"/>
  <c r="C232" i="5"/>
  <c r="B232" i="5"/>
  <c r="A232" i="5"/>
  <c r="H231" i="5"/>
  <c r="G231" i="5"/>
  <c r="F231" i="5"/>
  <c r="E231" i="5"/>
  <c r="D231" i="5"/>
  <c r="C231" i="5"/>
  <c r="B231" i="5"/>
  <c r="A231" i="5"/>
  <c r="H230" i="5"/>
  <c r="G230" i="5"/>
  <c r="F230" i="5"/>
  <c r="E230" i="5"/>
  <c r="D230" i="5"/>
  <c r="C230" i="5"/>
  <c r="B230" i="5"/>
  <c r="A230" i="5"/>
  <c r="H229" i="5"/>
  <c r="G229" i="5"/>
  <c r="F229" i="5"/>
  <c r="E229" i="5"/>
  <c r="D229" i="5"/>
  <c r="C229" i="5"/>
  <c r="B229" i="5"/>
  <c r="A229" i="5"/>
  <c r="H228" i="5"/>
  <c r="G228" i="5"/>
  <c r="F228" i="5"/>
  <c r="E228" i="5"/>
  <c r="D228" i="5"/>
  <c r="C228" i="5"/>
  <c r="B228" i="5"/>
  <c r="A228" i="5"/>
  <c r="H227" i="5"/>
  <c r="G227" i="5"/>
  <c r="F227" i="5"/>
  <c r="E227" i="5"/>
  <c r="D227" i="5"/>
  <c r="C227" i="5"/>
  <c r="B227" i="5"/>
  <c r="A227" i="5"/>
  <c r="H226" i="5"/>
  <c r="G226" i="5"/>
  <c r="F226" i="5"/>
  <c r="E226" i="5"/>
  <c r="D226" i="5"/>
  <c r="C226" i="5"/>
  <c r="B226" i="5"/>
  <c r="A226" i="5"/>
  <c r="H225" i="5"/>
  <c r="G225" i="5"/>
  <c r="F225" i="5"/>
  <c r="E225" i="5"/>
  <c r="D225" i="5"/>
  <c r="C225" i="5"/>
  <c r="B225" i="5"/>
  <c r="A225" i="5"/>
  <c r="H224" i="5"/>
  <c r="G224" i="5"/>
  <c r="F224" i="5"/>
  <c r="E224" i="5"/>
  <c r="D224" i="5"/>
  <c r="C224" i="5"/>
  <c r="B224" i="5"/>
  <c r="A224" i="5"/>
  <c r="H223" i="5"/>
  <c r="G223" i="5"/>
  <c r="F223" i="5"/>
  <c r="E223" i="5"/>
  <c r="D223" i="5"/>
  <c r="C223" i="5"/>
  <c r="B223" i="5"/>
  <c r="A223" i="5"/>
  <c r="H222" i="5"/>
  <c r="G222" i="5"/>
  <c r="F222" i="5"/>
  <c r="E222" i="5"/>
  <c r="D222" i="5"/>
  <c r="C222" i="5"/>
  <c r="B222" i="5"/>
  <c r="A222" i="5"/>
  <c r="H221" i="5"/>
  <c r="G221" i="5"/>
  <c r="F221" i="5"/>
  <c r="E221" i="5"/>
  <c r="D221" i="5"/>
  <c r="C221" i="5"/>
  <c r="B221" i="5"/>
  <c r="A221" i="5"/>
  <c r="H220" i="5"/>
  <c r="G220" i="5"/>
  <c r="F220" i="5"/>
  <c r="E220" i="5"/>
  <c r="D220" i="5"/>
  <c r="C220" i="5"/>
  <c r="B220" i="5"/>
  <c r="A220" i="5"/>
  <c r="H219" i="5"/>
  <c r="G219" i="5"/>
  <c r="F219" i="5"/>
  <c r="E219" i="5"/>
  <c r="D219" i="5"/>
  <c r="C219" i="5"/>
  <c r="B219" i="5"/>
  <c r="A219" i="5"/>
  <c r="H218" i="5"/>
  <c r="G218" i="5"/>
  <c r="F218" i="5"/>
  <c r="E218" i="5"/>
  <c r="D218" i="5"/>
  <c r="C218" i="5"/>
  <c r="B218" i="5"/>
  <c r="A218" i="5"/>
  <c r="H217" i="5"/>
  <c r="G217" i="5"/>
  <c r="F217" i="5"/>
  <c r="E217" i="5"/>
  <c r="D217" i="5"/>
  <c r="C217" i="5"/>
  <c r="B217" i="5"/>
  <c r="A217" i="5"/>
  <c r="H216" i="5"/>
  <c r="G216" i="5"/>
  <c r="F216" i="5"/>
  <c r="E216" i="5"/>
  <c r="D216" i="5"/>
  <c r="C216" i="5"/>
  <c r="B216" i="5"/>
  <c r="A216" i="5"/>
  <c r="H215" i="5"/>
  <c r="G215" i="5"/>
  <c r="F215" i="5"/>
  <c r="E215" i="5"/>
  <c r="D215" i="5"/>
  <c r="C215" i="5"/>
  <c r="B215" i="5"/>
  <c r="A215" i="5"/>
  <c r="H214" i="5"/>
  <c r="G214" i="5"/>
  <c r="F214" i="5"/>
  <c r="E214" i="5"/>
  <c r="D214" i="5"/>
  <c r="C214" i="5"/>
  <c r="B214" i="5"/>
  <c r="A214" i="5"/>
  <c r="H213" i="5"/>
  <c r="G213" i="5"/>
  <c r="F213" i="5"/>
  <c r="E213" i="5"/>
  <c r="D213" i="5"/>
  <c r="C213" i="5"/>
  <c r="B213" i="5"/>
  <c r="A213" i="5"/>
  <c r="H212" i="5"/>
  <c r="G212" i="5"/>
  <c r="F212" i="5"/>
  <c r="E212" i="5"/>
  <c r="D212" i="5"/>
  <c r="C212" i="5"/>
  <c r="B212" i="5"/>
  <c r="A212" i="5"/>
  <c r="H211" i="5"/>
  <c r="G211" i="5"/>
  <c r="F211" i="5"/>
  <c r="E211" i="5"/>
  <c r="D211" i="5"/>
  <c r="C211" i="5"/>
  <c r="B211" i="5"/>
  <c r="A211" i="5"/>
  <c r="H210" i="5"/>
  <c r="G210" i="5"/>
  <c r="F210" i="5"/>
  <c r="E210" i="5"/>
  <c r="D210" i="5"/>
  <c r="C210" i="5"/>
  <c r="B210" i="5"/>
  <c r="A210" i="5"/>
  <c r="H209" i="5"/>
  <c r="G209" i="5"/>
  <c r="F209" i="5"/>
  <c r="E209" i="5"/>
  <c r="D209" i="5"/>
  <c r="C209" i="5"/>
  <c r="B209" i="5"/>
  <c r="A209" i="5"/>
  <c r="H208" i="5"/>
  <c r="G208" i="5"/>
  <c r="F208" i="5"/>
  <c r="E208" i="5"/>
  <c r="D208" i="5"/>
  <c r="C208" i="5"/>
  <c r="B208" i="5"/>
  <c r="A208" i="5"/>
  <c r="H207" i="5"/>
  <c r="G207" i="5"/>
  <c r="F207" i="5"/>
  <c r="E207" i="5"/>
  <c r="D207" i="5"/>
  <c r="C207" i="5"/>
  <c r="B207" i="5"/>
  <c r="A207" i="5"/>
  <c r="H206" i="5"/>
  <c r="G206" i="5"/>
  <c r="F206" i="5"/>
  <c r="E206" i="5"/>
  <c r="D206" i="5"/>
  <c r="C206" i="5"/>
  <c r="B206" i="5"/>
  <c r="A206" i="5"/>
  <c r="H205" i="5"/>
  <c r="G205" i="5"/>
  <c r="F205" i="5"/>
  <c r="E205" i="5"/>
  <c r="D205" i="5"/>
  <c r="C205" i="5"/>
  <c r="B205" i="5"/>
  <c r="A205" i="5"/>
  <c r="H204" i="5"/>
  <c r="G204" i="5"/>
  <c r="F204" i="5"/>
  <c r="E204" i="5"/>
  <c r="D204" i="5"/>
  <c r="C204" i="5"/>
  <c r="B204" i="5"/>
  <c r="A204" i="5"/>
  <c r="H203" i="5"/>
  <c r="G203" i="5"/>
  <c r="F203" i="5"/>
  <c r="E203" i="5"/>
  <c r="D203" i="5"/>
  <c r="C203" i="5"/>
  <c r="B203" i="5"/>
  <c r="A203" i="5"/>
  <c r="H202" i="5"/>
  <c r="G202" i="5"/>
  <c r="F202" i="5"/>
  <c r="E202" i="5"/>
  <c r="D202" i="5"/>
  <c r="C202" i="5"/>
  <c r="B202" i="5"/>
  <c r="A202" i="5"/>
  <c r="H201" i="5"/>
  <c r="G201" i="5"/>
  <c r="F201" i="5"/>
  <c r="E201" i="5"/>
  <c r="D201" i="5"/>
  <c r="C201" i="5"/>
  <c r="B201" i="5"/>
  <c r="A201" i="5"/>
  <c r="H200" i="5"/>
  <c r="G200" i="5"/>
  <c r="F200" i="5"/>
  <c r="E200" i="5"/>
  <c r="D200" i="5"/>
  <c r="C200" i="5"/>
  <c r="B200" i="5"/>
  <c r="A200" i="5"/>
  <c r="H199" i="5"/>
  <c r="G199" i="5"/>
  <c r="F199" i="5"/>
  <c r="E199" i="5"/>
  <c r="D199" i="5"/>
  <c r="C199" i="5"/>
  <c r="B199" i="5"/>
  <c r="A199" i="5"/>
  <c r="H198" i="5"/>
  <c r="G198" i="5"/>
  <c r="F198" i="5"/>
  <c r="E198" i="5"/>
  <c r="D198" i="5"/>
  <c r="C198" i="5"/>
  <c r="B198" i="5"/>
  <c r="A198" i="5"/>
  <c r="H197" i="5"/>
  <c r="G197" i="5"/>
  <c r="F197" i="5"/>
  <c r="E197" i="5"/>
  <c r="D197" i="5"/>
  <c r="C197" i="5"/>
  <c r="B197" i="5"/>
  <c r="A197" i="5"/>
  <c r="H196" i="5"/>
  <c r="G196" i="5"/>
  <c r="F196" i="5"/>
  <c r="E196" i="5"/>
  <c r="D196" i="5"/>
  <c r="C196" i="5"/>
  <c r="B196" i="5"/>
  <c r="A196" i="5"/>
  <c r="H195" i="5"/>
  <c r="G195" i="5"/>
  <c r="F195" i="5"/>
  <c r="E195" i="5"/>
  <c r="D195" i="5"/>
  <c r="C195" i="5"/>
  <c r="B195" i="5"/>
  <c r="A195" i="5"/>
  <c r="H194" i="5"/>
  <c r="G194" i="5"/>
  <c r="F194" i="5"/>
  <c r="E194" i="5"/>
  <c r="D194" i="5"/>
  <c r="C194" i="5"/>
  <c r="B194" i="5"/>
  <c r="A194" i="5"/>
  <c r="H193" i="5"/>
  <c r="G193" i="5"/>
  <c r="F193" i="5"/>
  <c r="E193" i="5"/>
  <c r="D193" i="5"/>
  <c r="C193" i="5"/>
  <c r="B193" i="5"/>
  <c r="A193" i="5"/>
  <c r="H192" i="5"/>
  <c r="G192" i="5"/>
  <c r="F192" i="5"/>
  <c r="E192" i="5"/>
  <c r="D192" i="5"/>
  <c r="C192" i="5"/>
  <c r="B192" i="5"/>
  <c r="A192" i="5"/>
  <c r="H191" i="5"/>
  <c r="G191" i="5"/>
  <c r="F191" i="5"/>
  <c r="E191" i="5"/>
  <c r="D191" i="5"/>
  <c r="C191" i="5"/>
  <c r="B191" i="5"/>
  <c r="A191" i="5"/>
  <c r="H190" i="5"/>
  <c r="G190" i="5"/>
  <c r="F190" i="5"/>
  <c r="E190" i="5"/>
  <c r="D190" i="5"/>
  <c r="C190" i="5"/>
  <c r="B190" i="5"/>
  <c r="A190" i="5"/>
  <c r="H189" i="5"/>
  <c r="G189" i="5"/>
  <c r="F189" i="5"/>
  <c r="E189" i="5"/>
  <c r="D189" i="5"/>
  <c r="C189" i="5"/>
  <c r="B189" i="5"/>
  <c r="A189" i="5"/>
  <c r="H188" i="5"/>
  <c r="G188" i="5"/>
  <c r="F188" i="5"/>
  <c r="E188" i="5"/>
  <c r="D188" i="5"/>
  <c r="C188" i="5"/>
  <c r="B188" i="5"/>
  <c r="A188" i="5"/>
  <c r="H187" i="5"/>
  <c r="G187" i="5"/>
  <c r="F187" i="5"/>
  <c r="E187" i="5"/>
  <c r="D187" i="5"/>
  <c r="C187" i="5"/>
  <c r="B187" i="5"/>
  <c r="A187" i="5"/>
  <c r="H186" i="5"/>
  <c r="G186" i="5"/>
  <c r="F186" i="5"/>
  <c r="E186" i="5"/>
  <c r="D186" i="5"/>
  <c r="C186" i="5"/>
  <c r="B186" i="5"/>
  <c r="A186" i="5"/>
  <c r="H185" i="5"/>
  <c r="G185" i="5"/>
  <c r="F185" i="5"/>
  <c r="E185" i="5"/>
  <c r="D185" i="5"/>
  <c r="C185" i="5"/>
  <c r="B185" i="5"/>
  <c r="A185" i="5"/>
  <c r="H184" i="5"/>
  <c r="G184" i="5"/>
  <c r="F184" i="5"/>
  <c r="E184" i="5"/>
  <c r="D184" i="5"/>
  <c r="C184" i="5"/>
  <c r="B184" i="5"/>
  <c r="A184" i="5"/>
  <c r="H183" i="5"/>
  <c r="G183" i="5"/>
  <c r="F183" i="5"/>
  <c r="E183" i="5"/>
  <c r="D183" i="5"/>
  <c r="C183" i="5"/>
  <c r="B183" i="5"/>
  <c r="A183" i="5"/>
  <c r="H182" i="5"/>
  <c r="G182" i="5"/>
  <c r="F182" i="5"/>
  <c r="E182" i="5"/>
  <c r="D182" i="5"/>
  <c r="C182" i="5"/>
  <c r="B182" i="5"/>
  <c r="A182" i="5"/>
  <c r="H181" i="5"/>
  <c r="G181" i="5"/>
  <c r="F181" i="5"/>
  <c r="E181" i="5"/>
  <c r="D181" i="5"/>
  <c r="C181" i="5"/>
  <c r="B181" i="5"/>
  <c r="A181" i="5"/>
  <c r="H180" i="5"/>
  <c r="G180" i="5"/>
  <c r="F180" i="5"/>
  <c r="E180" i="5"/>
  <c r="D180" i="5"/>
  <c r="C180" i="5"/>
  <c r="B180" i="5"/>
  <c r="A180" i="5"/>
  <c r="H179" i="5"/>
  <c r="G179" i="5"/>
  <c r="F179" i="5"/>
  <c r="E179" i="5"/>
  <c r="D179" i="5"/>
  <c r="C179" i="5"/>
  <c r="B179" i="5"/>
  <c r="A179" i="5"/>
  <c r="H178" i="5"/>
  <c r="G178" i="5"/>
  <c r="F178" i="5"/>
  <c r="E178" i="5"/>
  <c r="D178" i="5"/>
  <c r="C178" i="5"/>
  <c r="B178" i="5"/>
  <c r="A178" i="5"/>
  <c r="H177" i="5"/>
  <c r="G177" i="5"/>
  <c r="F177" i="5"/>
  <c r="E177" i="5"/>
  <c r="D177" i="5"/>
  <c r="C177" i="5"/>
  <c r="B177" i="5"/>
  <c r="A177" i="5"/>
  <c r="H176" i="5"/>
  <c r="G176" i="5"/>
  <c r="F176" i="5"/>
  <c r="E176" i="5"/>
  <c r="D176" i="5"/>
  <c r="C176" i="5"/>
  <c r="B176" i="5"/>
  <c r="A176" i="5"/>
  <c r="H175" i="5"/>
  <c r="G175" i="5"/>
  <c r="F175" i="5"/>
  <c r="E175" i="5"/>
  <c r="D175" i="5"/>
  <c r="C175" i="5"/>
  <c r="B175" i="5"/>
  <c r="A175" i="5"/>
  <c r="H174" i="5"/>
  <c r="G174" i="5"/>
  <c r="F174" i="5"/>
  <c r="E174" i="5"/>
  <c r="D174" i="5"/>
  <c r="C174" i="5"/>
  <c r="B174" i="5"/>
  <c r="A174" i="5"/>
  <c r="H173" i="5"/>
  <c r="G173" i="5"/>
  <c r="F173" i="5"/>
  <c r="E173" i="5"/>
  <c r="D173" i="5"/>
  <c r="C173" i="5"/>
  <c r="B173" i="5"/>
  <c r="A173" i="5"/>
  <c r="H172" i="5"/>
  <c r="G172" i="5"/>
  <c r="F172" i="5"/>
  <c r="E172" i="5"/>
  <c r="D172" i="5"/>
  <c r="C172" i="5"/>
  <c r="B172" i="5"/>
  <c r="A172" i="5"/>
  <c r="H171" i="5"/>
  <c r="G171" i="5"/>
  <c r="F171" i="5"/>
  <c r="E171" i="5"/>
  <c r="D171" i="5"/>
  <c r="C171" i="5"/>
  <c r="B171" i="5"/>
  <c r="A171" i="5"/>
  <c r="H170" i="5"/>
  <c r="G170" i="5"/>
  <c r="F170" i="5"/>
  <c r="E170" i="5"/>
  <c r="D170" i="5"/>
  <c r="C170" i="5"/>
  <c r="B170" i="5"/>
  <c r="A170" i="5"/>
  <c r="H169" i="5"/>
  <c r="G169" i="5"/>
  <c r="F169" i="5"/>
  <c r="E169" i="5"/>
  <c r="D169" i="5"/>
  <c r="C169" i="5"/>
  <c r="B169" i="5"/>
  <c r="A169" i="5"/>
  <c r="H168" i="5"/>
  <c r="G168" i="5"/>
  <c r="F168" i="5"/>
  <c r="E168" i="5"/>
  <c r="D168" i="5"/>
  <c r="C168" i="5"/>
  <c r="B168" i="5"/>
  <c r="A168" i="5"/>
  <c r="H167" i="5"/>
  <c r="G167" i="5"/>
  <c r="F167" i="5"/>
  <c r="E167" i="5"/>
  <c r="D167" i="5"/>
  <c r="C167" i="5"/>
  <c r="B167" i="5"/>
  <c r="A167" i="5"/>
  <c r="H166" i="5"/>
  <c r="G166" i="5"/>
  <c r="F166" i="5"/>
  <c r="E166" i="5"/>
  <c r="D166" i="5"/>
  <c r="C166" i="5"/>
  <c r="B166" i="5"/>
  <c r="A166" i="5"/>
  <c r="H165" i="5"/>
  <c r="G165" i="5"/>
  <c r="F165" i="5"/>
  <c r="E165" i="5"/>
  <c r="D165" i="5"/>
  <c r="C165" i="5"/>
  <c r="B165" i="5"/>
  <c r="A165" i="5"/>
  <c r="H164" i="5"/>
  <c r="G164" i="5"/>
  <c r="F164" i="5"/>
  <c r="E164" i="5"/>
  <c r="D164" i="5"/>
  <c r="C164" i="5"/>
  <c r="B164" i="5"/>
  <c r="A164" i="5"/>
  <c r="H163" i="5"/>
  <c r="G163" i="5"/>
  <c r="F163" i="5"/>
  <c r="E163" i="5"/>
  <c r="D163" i="5"/>
  <c r="C163" i="5"/>
  <c r="B163" i="5"/>
  <c r="A163" i="5"/>
  <c r="H162" i="5"/>
  <c r="G162" i="5"/>
  <c r="F162" i="5"/>
  <c r="E162" i="5"/>
  <c r="D162" i="5"/>
  <c r="C162" i="5"/>
  <c r="B162" i="5"/>
  <c r="A162" i="5"/>
  <c r="H161" i="5"/>
  <c r="G161" i="5"/>
  <c r="F161" i="5"/>
  <c r="E161" i="5"/>
  <c r="D161" i="5"/>
  <c r="C161" i="5"/>
  <c r="B161" i="5"/>
  <c r="A161" i="5"/>
  <c r="H160" i="5"/>
  <c r="G160" i="5"/>
  <c r="F160" i="5"/>
  <c r="E160" i="5"/>
  <c r="D160" i="5"/>
  <c r="C160" i="5"/>
  <c r="B160" i="5"/>
  <c r="A160" i="5"/>
  <c r="H159" i="5"/>
  <c r="G159" i="5"/>
  <c r="F159" i="5"/>
  <c r="E159" i="5"/>
  <c r="D159" i="5"/>
  <c r="C159" i="5"/>
  <c r="B159" i="5"/>
  <c r="A159" i="5"/>
  <c r="H158" i="5"/>
  <c r="G158" i="5"/>
  <c r="F158" i="5"/>
  <c r="E158" i="5"/>
  <c r="D158" i="5"/>
  <c r="C158" i="5"/>
  <c r="B158" i="5"/>
  <c r="A158" i="5"/>
  <c r="H157" i="5"/>
  <c r="G157" i="5"/>
  <c r="F157" i="5"/>
  <c r="E157" i="5"/>
  <c r="D157" i="5"/>
  <c r="C157" i="5"/>
  <c r="B157" i="5"/>
  <c r="A157" i="5"/>
  <c r="H156" i="5"/>
  <c r="G156" i="5"/>
  <c r="F156" i="5"/>
  <c r="E156" i="5"/>
  <c r="D156" i="5"/>
  <c r="C156" i="5"/>
  <c r="B156" i="5"/>
  <c r="A156" i="5"/>
  <c r="H155" i="5"/>
  <c r="G155" i="5"/>
  <c r="F155" i="5"/>
  <c r="E155" i="5"/>
  <c r="D155" i="5"/>
  <c r="C155" i="5"/>
  <c r="B155" i="5"/>
  <c r="A155" i="5"/>
  <c r="H154" i="5"/>
  <c r="G154" i="5"/>
  <c r="F154" i="5"/>
  <c r="E154" i="5"/>
  <c r="D154" i="5"/>
  <c r="C154" i="5"/>
  <c r="B154" i="5"/>
  <c r="A154" i="5"/>
  <c r="H153" i="5"/>
  <c r="G153" i="5"/>
  <c r="F153" i="5"/>
  <c r="E153" i="5"/>
  <c r="D153" i="5"/>
  <c r="C153" i="5"/>
  <c r="B153" i="5"/>
  <c r="A153" i="5"/>
  <c r="H152" i="5"/>
  <c r="G152" i="5"/>
  <c r="F152" i="5"/>
  <c r="E152" i="5"/>
  <c r="D152" i="5"/>
  <c r="C152" i="5"/>
  <c r="B152" i="5"/>
  <c r="A152" i="5"/>
  <c r="H151" i="5"/>
  <c r="G151" i="5"/>
  <c r="F151" i="5"/>
  <c r="E151" i="5"/>
  <c r="D151" i="5"/>
  <c r="C151" i="5"/>
  <c r="B151" i="5"/>
  <c r="A151" i="5"/>
  <c r="H150" i="5"/>
  <c r="G150" i="5"/>
  <c r="F150" i="5"/>
  <c r="E150" i="5"/>
  <c r="D150" i="5"/>
  <c r="C150" i="5"/>
  <c r="B150" i="5"/>
  <c r="A150" i="5"/>
  <c r="H149" i="5"/>
  <c r="G149" i="5"/>
  <c r="F149" i="5"/>
  <c r="E149" i="5"/>
  <c r="D149" i="5"/>
  <c r="C149" i="5"/>
  <c r="B149" i="5"/>
  <c r="A149" i="5"/>
  <c r="H148" i="5"/>
  <c r="G148" i="5"/>
  <c r="F148" i="5"/>
  <c r="E148" i="5"/>
  <c r="D148" i="5"/>
  <c r="C148" i="5"/>
  <c r="B148" i="5"/>
  <c r="A148" i="5"/>
  <c r="H147" i="5"/>
  <c r="G147" i="5"/>
  <c r="F147" i="5"/>
  <c r="E147" i="5"/>
  <c r="D147" i="5"/>
  <c r="C147" i="5"/>
  <c r="B147" i="5"/>
  <c r="A147" i="5"/>
  <c r="H146" i="5"/>
  <c r="G146" i="5"/>
  <c r="F146" i="5"/>
  <c r="E146" i="5"/>
  <c r="D146" i="5"/>
  <c r="C146" i="5"/>
  <c r="B146" i="5"/>
  <c r="A146" i="5"/>
  <c r="H145" i="5"/>
  <c r="G145" i="5"/>
  <c r="F145" i="5"/>
  <c r="E145" i="5"/>
  <c r="D145" i="5"/>
  <c r="C145" i="5"/>
  <c r="B145" i="5"/>
  <c r="A145" i="5"/>
  <c r="H144" i="5"/>
  <c r="G144" i="5"/>
  <c r="F144" i="5"/>
  <c r="E144" i="5"/>
  <c r="D144" i="5"/>
  <c r="C144" i="5"/>
  <c r="B144" i="5"/>
  <c r="A144" i="5"/>
  <c r="H143" i="5"/>
  <c r="G143" i="5"/>
  <c r="F143" i="5"/>
  <c r="E143" i="5"/>
  <c r="D143" i="5"/>
  <c r="C143" i="5"/>
  <c r="B143" i="5"/>
  <c r="A143" i="5"/>
  <c r="H142" i="5"/>
  <c r="G142" i="5"/>
  <c r="F142" i="5"/>
  <c r="E142" i="5"/>
  <c r="D142" i="5"/>
  <c r="C142" i="5"/>
  <c r="B142" i="5"/>
  <c r="A142" i="5"/>
  <c r="H141" i="5"/>
  <c r="G141" i="5"/>
  <c r="F141" i="5"/>
  <c r="E141" i="5"/>
  <c r="D141" i="5"/>
  <c r="C141" i="5"/>
  <c r="B141" i="5"/>
  <c r="A141" i="5"/>
  <c r="H140" i="5"/>
  <c r="G140" i="5"/>
  <c r="F140" i="5"/>
  <c r="E140" i="5"/>
  <c r="D140" i="5"/>
  <c r="C140" i="5"/>
  <c r="B140" i="5"/>
  <c r="A140" i="5"/>
  <c r="H139" i="5"/>
  <c r="G139" i="5"/>
  <c r="F139" i="5"/>
  <c r="E139" i="5"/>
  <c r="D139" i="5"/>
  <c r="C139" i="5"/>
  <c r="B139" i="5"/>
  <c r="A139" i="5"/>
  <c r="H138" i="5"/>
  <c r="G138" i="5"/>
  <c r="F138" i="5"/>
  <c r="E138" i="5"/>
  <c r="D138" i="5"/>
  <c r="C138" i="5"/>
  <c r="B138" i="5"/>
  <c r="A138" i="5"/>
  <c r="H137" i="5"/>
  <c r="G137" i="5"/>
  <c r="F137" i="5"/>
  <c r="E137" i="5"/>
  <c r="D137" i="5"/>
  <c r="C137" i="5"/>
  <c r="B137" i="5"/>
  <c r="A137" i="5"/>
  <c r="H136" i="5"/>
  <c r="G136" i="5"/>
  <c r="F136" i="5"/>
  <c r="E136" i="5"/>
  <c r="D136" i="5"/>
  <c r="C136" i="5"/>
  <c r="B136" i="5"/>
  <c r="A136" i="5"/>
  <c r="H135" i="5"/>
  <c r="G135" i="5"/>
  <c r="F135" i="5"/>
  <c r="E135" i="5"/>
  <c r="D135" i="5"/>
  <c r="C135" i="5"/>
  <c r="B135" i="5"/>
  <c r="A135" i="5"/>
  <c r="H134" i="5"/>
  <c r="G134" i="5"/>
  <c r="F134" i="5"/>
  <c r="E134" i="5"/>
  <c r="D134" i="5"/>
  <c r="C134" i="5"/>
  <c r="B134" i="5"/>
  <c r="A134" i="5"/>
  <c r="H133" i="5"/>
  <c r="G133" i="5"/>
  <c r="F133" i="5"/>
  <c r="E133" i="5"/>
  <c r="D133" i="5"/>
  <c r="C133" i="5"/>
  <c r="B133" i="5"/>
  <c r="A133" i="5"/>
  <c r="H132" i="5"/>
  <c r="G132" i="5"/>
  <c r="F132" i="5"/>
  <c r="E132" i="5"/>
  <c r="D132" i="5"/>
  <c r="C132" i="5"/>
  <c r="B132" i="5"/>
  <c r="A132" i="5"/>
  <c r="H131" i="5"/>
  <c r="G131" i="5"/>
  <c r="F131" i="5"/>
  <c r="E131" i="5"/>
  <c r="D131" i="5"/>
  <c r="C131" i="5"/>
  <c r="B131" i="5"/>
  <c r="A131" i="5"/>
  <c r="H130" i="5"/>
  <c r="G130" i="5"/>
  <c r="F130" i="5"/>
  <c r="E130" i="5"/>
  <c r="D130" i="5"/>
  <c r="C130" i="5"/>
  <c r="B130" i="5"/>
  <c r="A130" i="5"/>
  <c r="H129" i="5"/>
  <c r="G129" i="5"/>
  <c r="F129" i="5"/>
  <c r="E129" i="5"/>
  <c r="D129" i="5"/>
  <c r="C129" i="5"/>
  <c r="B129" i="5"/>
  <c r="A129" i="5"/>
  <c r="H128" i="5"/>
  <c r="G128" i="5"/>
  <c r="F128" i="5"/>
  <c r="E128" i="5"/>
  <c r="D128" i="5"/>
  <c r="C128" i="5"/>
  <c r="B128" i="5"/>
  <c r="A128" i="5"/>
  <c r="H127" i="5"/>
  <c r="G127" i="5"/>
  <c r="F127" i="5"/>
  <c r="E127" i="5"/>
  <c r="D127" i="5"/>
  <c r="C127" i="5"/>
  <c r="B127" i="5"/>
  <c r="A127" i="5"/>
  <c r="H126" i="5"/>
  <c r="G126" i="5"/>
  <c r="F126" i="5"/>
  <c r="E126" i="5"/>
  <c r="D126" i="5"/>
  <c r="C126" i="5"/>
  <c r="B126" i="5"/>
  <c r="A126" i="5"/>
  <c r="H125" i="5"/>
  <c r="G125" i="5"/>
  <c r="F125" i="5"/>
  <c r="E125" i="5"/>
  <c r="D125" i="5"/>
  <c r="C125" i="5"/>
  <c r="B125" i="5"/>
  <c r="A125" i="5"/>
  <c r="H124" i="5"/>
  <c r="G124" i="5"/>
  <c r="F124" i="5"/>
  <c r="E124" i="5"/>
  <c r="D124" i="5"/>
  <c r="C124" i="5"/>
  <c r="B124" i="5"/>
  <c r="A124" i="5"/>
  <c r="H123" i="5"/>
  <c r="G123" i="5"/>
  <c r="F123" i="5"/>
  <c r="E123" i="5"/>
  <c r="D123" i="5"/>
  <c r="C123" i="5"/>
  <c r="B123" i="5"/>
  <c r="A123" i="5"/>
  <c r="H122" i="5"/>
  <c r="G122" i="5"/>
  <c r="F122" i="5"/>
  <c r="E122" i="5"/>
  <c r="D122" i="5"/>
  <c r="C122" i="5"/>
  <c r="B122" i="5"/>
  <c r="A122" i="5"/>
  <c r="H121" i="5"/>
  <c r="G121" i="5"/>
  <c r="F121" i="5"/>
  <c r="E121" i="5"/>
  <c r="D121" i="5"/>
  <c r="C121" i="5"/>
  <c r="B121" i="5"/>
  <c r="A121" i="5"/>
  <c r="H120" i="5"/>
  <c r="G120" i="5"/>
  <c r="F120" i="5"/>
  <c r="E120" i="5"/>
  <c r="D120" i="5"/>
  <c r="C120" i="5"/>
  <c r="B120" i="5"/>
  <c r="A120" i="5"/>
  <c r="H119" i="5"/>
  <c r="G119" i="5"/>
  <c r="F119" i="5"/>
  <c r="E119" i="5"/>
  <c r="D119" i="5"/>
  <c r="C119" i="5"/>
  <c r="B119" i="5"/>
  <c r="A119" i="5"/>
  <c r="H118" i="5"/>
  <c r="G118" i="5"/>
  <c r="F118" i="5"/>
  <c r="E118" i="5"/>
  <c r="D118" i="5"/>
  <c r="C118" i="5"/>
  <c r="B118" i="5"/>
  <c r="A118" i="5"/>
  <c r="H117" i="5"/>
  <c r="G117" i="5"/>
  <c r="F117" i="5"/>
  <c r="E117" i="5"/>
  <c r="D117" i="5"/>
  <c r="C117" i="5"/>
  <c r="B117" i="5"/>
  <c r="A117" i="5"/>
  <c r="H116" i="5"/>
  <c r="G116" i="5"/>
  <c r="F116" i="5"/>
  <c r="E116" i="5"/>
  <c r="D116" i="5"/>
  <c r="C116" i="5"/>
  <c r="B116" i="5"/>
  <c r="A116" i="5"/>
  <c r="H115" i="5"/>
  <c r="G115" i="5"/>
  <c r="F115" i="5"/>
  <c r="E115" i="5"/>
  <c r="D115" i="5"/>
  <c r="C115" i="5"/>
  <c r="B115" i="5"/>
  <c r="A115" i="5"/>
  <c r="H114" i="5"/>
  <c r="G114" i="5"/>
  <c r="F114" i="5"/>
  <c r="E114" i="5"/>
  <c r="D114" i="5"/>
  <c r="C114" i="5"/>
  <c r="B114" i="5"/>
  <c r="A114" i="5"/>
  <c r="H113" i="5"/>
  <c r="G113" i="5"/>
  <c r="F113" i="5"/>
  <c r="E113" i="5"/>
  <c r="D113" i="5"/>
  <c r="C113" i="5"/>
  <c r="B113" i="5"/>
  <c r="A113" i="5"/>
  <c r="H112" i="5"/>
  <c r="G112" i="5"/>
  <c r="F112" i="5"/>
  <c r="E112" i="5"/>
  <c r="D112" i="5"/>
  <c r="C112" i="5"/>
  <c r="B112" i="5"/>
  <c r="A112" i="5"/>
  <c r="H111" i="5"/>
  <c r="G111" i="5"/>
  <c r="F111" i="5"/>
  <c r="E111" i="5"/>
  <c r="D111" i="5"/>
  <c r="C111" i="5"/>
  <c r="B111" i="5"/>
  <c r="A111" i="5"/>
  <c r="H110" i="5"/>
  <c r="G110" i="5"/>
  <c r="F110" i="5"/>
  <c r="E110" i="5"/>
  <c r="D110" i="5"/>
  <c r="C110" i="5"/>
  <c r="B110" i="5"/>
  <c r="A110" i="5"/>
  <c r="H109" i="5"/>
  <c r="G109" i="5"/>
  <c r="F109" i="5"/>
  <c r="E109" i="5"/>
  <c r="D109" i="5"/>
  <c r="C109" i="5"/>
  <c r="B109" i="5"/>
  <c r="A109" i="5"/>
  <c r="H108" i="5"/>
  <c r="G108" i="5"/>
  <c r="F108" i="5"/>
  <c r="E108" i="5"/>
  <c r="D108" i="5"/>
  <c r="C108" i="5"/>
  <c r="B108" i="5"/>
  <c r="A108" i="5"/>
  <c r="H107" i="5"/>
  <c r="G107" i="5"/>
  <c r="F107" i="5"/>
  <c r="E107" i="5"/>
  <c r="D107" i="5"/>
  <c r="C107" i="5"/>
  <c r="B107" i="5"/>
  <c r="A107" i="5"/>
  <c r="H106" i="5"/>
  <c r="G106" i="5"/>
  <c r="F106" i="5"/>
  <c r="E106" i="5"/>
  <c r="D106" i="5"/>
  <c r="C106" i="5"/>
  <c r="B106" i="5"/>
  <c r="A106" i="5"/>
  <c r="H105" i="5"/>
  <c r="G105" i="5"/>
  <c r="F105" i="5"/>
  <c r="E105" i="5"/>
  <c r="D105" i="5"/>
  <c r="C105" i="5"/>
  <c r="B105" i="5"/>
  <c r="A105" i="5"/>
  <c r="H104" i="5"/>
  <c r="G104" i="5"/>
  <c r="F104" i="5"/>
  <c r="E104" i="5"/>
  <c r="D104" i="5"/>
  <c r="C104" i="5"/>
  <c r="B104" i="5"/>
  <c r="A104" i="5"/>
  <c r="H103" i="5"/>
  <c r="G103" i="5"/>
  <c r="F103" i="5"/>
  <c r="E103" i="5"/>
  <c r="D103" i="5"/>
  <c r="C103" i="5"/>
  <c r="B103" i="5"/>
  <c r="A103" i="5"/>
  <c r="H102" i="5"/>
  <c r="G102" i="5"/>
  <c r="F102" i="5"/>
  <c r="E102" i="5"/>
  <c r="D102" i="5"/>
  <c r="C102" i="5"/>
  <c r="B102" i="5"/>
  <c r="A102" i="5"/>
  <c r="H101" i="5"/>
  <c r="G101" i="5"/>
  <c r="F101" i="5"/>
  <c r="E101" i="5"/>
  <c r="D101" i="5"/>
  <c r="C101" i="5"/>
  <c r="B101" i="5"/>
  <c r="A101" i="5"/>
  <c r="H100" i="5"/>
  <c r="G100" i="5"/>
  <c r="F100" i="5"/>
  <c r="E100" i="5"/>
  <c r="D100" i="5"/>
  <c r="C100" i="5"/>
  <c r="B100" i="5"/>
  <c r="A100" i="5"/>
  <c r="H99" i="5"/>
  <c r="G99" i="5"/>
  <c r="F99" i="5"/>
  <c r="E99" i="5"/>
  <c r="D99" i="5"/>
  <c r="C99" i="5"/>
  <c r="B99" i="5"/>
  <c r="A99" i="5"/>
  <c r="H98" i="5"/>
  <c r="G98" i="5"/>
  <c r="F98" i="5"/>
  <c r="E98" i="5"/>
  <c r="D98" i="5"/>
  <c r="C98" i="5"/>
  <c r="B98" i="5"/>
  <c r="A98" i="5"/>
  <c r="H97" i="5"/>
  <c r="G97" i="5"/>
  <c r="F97" i="5"/>
  <c r="E97" i="5"/>
  <c r="D97" i="5"/>
  <c r="C97" i="5"/>
  <c r="B97" i="5"/>
  <c r="A97" i="5"/>
  <c r="H96" i="5"/>
  <c r="G96" i="5"/>
  <c r="F96" i="5"/>
  <c r="E96" i="5"/>
  <c r="D96" i="5"/>
  <c r="C96" i="5"/>
  <c r="B96" i="5"/>
  <c r="A96" i="5"/>
  <c r="H95" i="5"/>
  <c r="G95" i="5"/>
  <c r="F95" i="5"/>
  <c r="E95" i="5"/>
  <c r="D95" i="5"/>
  <c r="C95" i="5"/>
  <c r="B95" i="5"/>
  <c r="A95" i="5"/>
  <c r="H94" i="5"/>
  <c r="G94" i="5"/>
  <c r="F94" i="5"/>
  <c r="E94" i="5"/>
  <c r="D94" i="5"/>
  <c r="C94" i="5"/>
  <c r="B94" i="5"/>
  <c r="A94" i="5"/>
  <c r="H93" i="5"/>
  <c r="G93" i="5"/>
  <c r="F93" i="5"/>
  <c r="E93" i="5"/>
  <c r="D93" i="5"/>
  <c r="C93" i="5"/>
  <c r="B93" i="5"/>
  <c r="A93" i="5"/>
  <c r="H92" i="5"/>
  <c r="G92" i="5"/>
  <c r="F92" i="5"/>
  <c r="E92" i="5"/>
  <c r="D92" i="5"/>
  <c r="C92" i="5"/>
  <c r="B92" i="5"/>
  <c r="A92" i="5"/>
  <c r="H91" i="5"/>
  <c r="G91" i="5"/>
  <c r="F91" i="5"/>
  <c r="E91" i="5"/>
  <c r="D91" i="5"/>
  <c r="C91" i="5"/>
  <c r="B91" i="5"/>
  <c r="A91" i="5"/>
  <c r="H90" i="5"/>
  <c r="G90" i="5"/>
  <c r="F90" i="5"/>
  <c r="E90" i="5"/>
  <c r="D90" i="5"/>
  <c r="C90" i="5"/>
  <c r="B90" i="5"/>
  <c r="A90" i="5"/>
  <c r="H89" i="5"/>
  <c r="G89" i="5"/>
  <c r="F89" i="5"/>
  <c r="E89" i="5"/>
  <c r="D89" i="5"/>
  <c r="C89" i="5"/>
  <c r="B89" i="5"/>
  <c r="A89" i="5"/>
  <c r="H88" i="5"/>
  <c r="G88" i="5"/>
  <c r="F88" i="5"/>
  <c r="E88" i="5"/>
  <c r="D88" i="5"/>
  <c r="C88" i="5"/>
  <c r="B88" i="5"/>
  <c r="A88" i="5"/>
  <c r="H87" i="5"/>
  <c r="G87" i="5"/>
  <c r="F87" i="5"/>
  <c r="E87" i="5"/>
  <c r="D87" i="5"/>
  <c r="C87" i="5"/>
  <c r="B87" i="5"/>
  <c r="A87" i="5"/>
  <c r="H86" i="5"/>
  <c r="G86" i="5"/>
  <c r="F86" i="5"/>
  <c r="E86" i="5"/>
  <c r="D86" i="5"/>
  <c r="C86" i="5"/>
  <c r="B86" i="5"/>
  <c r="A86" i="5"/>
  <c r="H85" i="5"/>
  <c r="G85" i="5"/>
  <c r="F85" i="5"/>
  <c r="E85" i="5"/>
  <c r="D85" i="5"/>
  <c r="C85" i="5"/>
  <c r="B85" i="5"/>
  <c r="A85" i="5"/>
  <c r="H84" i="5"/>
  <c r="G84" i="5"/>
  <c r="F84" i="5"/>
  <c r="E84" i="5"/>
  <c r="D84" i="5"/>
  <c r="C84" i="5"/>
  <c r="B84" i="5"/>
  <c r="A84" i="5"/>
  <c r="H83" i="5"/>
  <c r="G83" i="5"/>
  <c r="F83" i="5"/>
  <c r="E83" i="5"/>
  <c r="D83" i="5"/>
  <c r="C83" i="5"/>
  <c r="B83" i="5"/>
  <c r="A83" i="5"/>
  <c r="H82" i="5"/>
  <c r="G82" i="5"/>
  <c r="F82" i="5"/>
  <c r="E82" i="5"/>
  <c r="D82" i="5"/>
  <c r="C82" i="5"/>
  <c r="B82" i="5"/>
  <c r="A82" i="5"/>
  <c r="H81" i="5"/>
  <c r="G81" i="5"/>
  <c r="F81" i="5"/>
  <c r="E81" i="5"/>
  <c r="D81" i="5"/>
  <c r="C81" i="5"/>
  <c r="B81" i="5"/>
  <c r="A81" i="5"/>
  <c r="H80" i="5"/>
  <c r="G80" i="5"/>
  <c r="F80" i="5"/>
  <c r="E80" i="5"/>
  <c r="D80" i="5"/>
  <c r="C80" i="5"/>
  <c r="B80" i="5"/>
  <c r="A80" i="5"/>
  <c r="H79" i="5"/>
  <c r="G79" i="5"/>
  <c r="F79" i="5"/>
  <c r="E79" i="5"/>
  <c r="D79" i="5"/>
  <c r="C79" i="5"/>
  <c r="B79" i="5"/>
  <c r="A79" i="5"/>
  <c r="H78" i="5"/>
  <c r="G78" i="5"/>
  <c r="F78" i="5"/>
  <c r="E78" i="5"/>
  <c r="D78" i="5"/>
  <c r="C78" i="5"/>
  <c r="B78" i="5"/>
  <c r="A78" i="5"/>
  <c r="H77" i="5"/>
  <c r="G77" i="5"/>
  <c r="F77" i="5"/>
  <c r="E77" i="5"/>
  <c r="D77" i="5"/>
  <c r="C77" i="5"/>
  <c r="B77" i="5"/>
  <c r="A77" i="5"/>
  <c r="H76" i="5"/>
  <c r="G76" i="5"/>
  <c r="F76" i="5"/>
  <c r="E76" i="5"/>
  <c r="D76" i="5"/>
  <c r="C76" i="5"/>
  <c r="B76" i="5"/>
  <c r="A76" i="5"/>
  <c r="H75" i="5"/>
  <c r="G75" i="5"/>
  <c r="F75" i="5"/>
  <c r="E75" i="5"/>
  <c r="D75" i="5"/>
  <c r="C75" i="5"/>
  <c r="B75" i="5"/>
  <c r="A75" i="5"/>
  <c r="H74" i="5"/>
  <c r="G74" i="5"/>
  <c r="F74" i="5"/>
  <c r="E74" i="5"/>
  <c r="D74" i="5"/>
  <c r="C74" i="5"/>
  <c r="B74" i="5"/>
  <c r="A74" i="5"/>
  <c r="H73" i="5"/>
  <c r="G73" i="5"/>
  <c r="F73" i="5"/>
  <c r="E73" i="5"/>
  <c r="D73" i="5"/>
  <c r="C73" i="5"/>
  <c r="B73" i="5"/>
  <c r="A73" i="5"/>
  <c r="H72" i="5"/>
  <c r="G72" i="5"/>
  <c r="F72" i="5"/>
  <c r="E72" i="5"/>
  <c r="D72" i="5"/>
  <c r="C72" i="5"/>
  <c r="B72" i="5"/>
  <c r="A72" i="5"/>
  <c r="H71" i="5"/>
  <c r="G71" i="5"/>
  <c r="F71" i="5"/>
  <c r="E71" i="5"/>
  <c r="D71" i="5"/>
  <c r="C71" i="5"/>
  <c r="B71" i="5"/>
  <c r="A71" i="5"/>
  <c r="H70" i="5"/>
  <c r="G70" i="5"/>
  <c r="F70" i="5"/>
  <c r="E70" i="5"/>
  <c r="D70" i="5"/>
  <c r="C70" i="5"/>
  <c r="B70" i="5"/>
  <c r="A70" i="5"/>
  <c r="H69" i="5"/>
  <c r="G69" i="5"/>
  <c r="F69" i="5"/>
  <c r="E69" i="5"/>
  <c r="D69" i="5"/>
  <c r="C69" i="5"/>
  <c r="B69" i="5"/>
  <c r="A69" i="5"/>
  <c r="H68" i="5"/>
  <c r="G68" i="5"/>
  <c r="F68" i="5"/>
  <c r="E68" i="5"/>
  <c r="D68" i="5"/>
  <c r="C68" i="5"/>
  <c r="B68" i="5"/>
  <c r="A68" i="5"/>
  <c r="H67" i="5"/>
  <c r="G67" i="5"/>
  <c r="F67" i="5"/>
  <c r="E67" i="5"/>
  <c r="D67" i="5"/>
  <c r="C67" i="5"/>
  <c r="B67" i="5"/>
  <c r="A67" i="5"/>
  <c r="H66" i="5"/>
  <c r="G66" i="5"/>
  <c r="F66" i="5"/>
  <c r="E66" i="5"/>
  <c r="D66" i="5"/>
  <c r="C66" i="5"/>
  <c r="B66" i="5"/>
  <c r="A66" i="5"/>
  <c r="H65" i="5"/>
  <c r="G65" i="5"/>
  <c r="F65" i="5"/>
  <c r="E65" i="5"/>
  <c r="D65" i="5"/>
  <c r="C65" i="5"/>
  <c r="B65" i="5"/>
  <c r="A65" i="5"/>
  <c r="H64" i="5"/>
  <c r="G64" i="5"/>
  <c r="F64" i="5"/>
  <c r="E64" i="5"/>
  <c r="D64" i="5"/>
  <c r="C64" i="5"/>
  <c r="B64" i="5"/>
  <c r="A64" i="5"/>
  <c r="H63" i="5"/>
  <c r="G63" i="5"/>
  <c r="F63" i="5"/>
  <c r="E63" i="5"/>
  <c r="D63" i="5"/>
  <c r="C63" i="5"/>
  <c r="B63" i="5"/>
  <c r="A63" i="5"/>
  <c r="H62" i="5"/>
  <c r="G62" i="5"/>
  <c r="F62" i="5"/>
  <c r="E62" i="5"/>
  <c r="D62" i="5"/>
  <c r="C62" i="5"/>
  <c r="B62" i="5"/>
  <c r="A62" i="5"/>
  <c r="H61" i="5"/>
  <c r="G61" i="5"/>
  <c r="F61" i="5"/>
  <c r="E61" i="5"/>
  <c r="D61" i="5"/>
  <c r="C61" i="5"/>
  <c r="B61" i="5"/>
  <c r="A61" i="5"/>
  <c r="H60" i="5"/>
  <c r="G60" i="5"/>
  <c r="F60" i="5"/>
  <c r="E60" i="5"/>
  <c r="D60" i="5"/>
  <c r="C60" i="5"/>
  <c r="B60" i="5"/>
  <c r="A60" i="5"/>
  <c r="H59" i="5"/>
  <c r="G59" i="5"/>
  <c r="F59" i="5"/>
  <c r="E59" i="5"/>
  <c r="D59" i="5"/>
  <c r="C59" i="5"/>
  <c r="B59" i="5"/>
  <c r="A59" i="5"/>
  <c r="H58" i="5"/>
  <c r="G58" i="5"/>
  <c r="F58" i="5"/>
  <c r="E58" i="5"/>
  <c r="D58" i="5"/>
  <c r="C58" i="5"/>
  <c r="B58" i="5"/>
  <c r="A58" i="5"/>
  <c r="H57" i="5"/>
  <c r="G57" i="5"/>
  <c r="F57" i="5"/>
  <c r="E57" i="5"/>
  <c r="D57" i="5"/>
  <c r="C57" i="5"/>
  <c r="B57" i="5"/>
  <c r="A57" i="5"/>
  <c r="H56" i="5"/>
  <c r="G56" i="5"/>
  <c r="F56" i="5"/>
  <c r="E56" i="5"/>
  <c r="D56" i="5"/>
  <c r="C56" i="5"/>
  <c r="B56" i="5"/>
  <c r="A56" i="5"/>
  <c r="H55" i="5"/>
  <c r="G55" i="5"/>
  <c r="F55" i="5"/>
  <c r="E55" i="5"/>
  <c r="D55" i="5"/>
  <c r="C55" i="5"/>
  <c r="B55" i="5"/>
  <c r="A55" i="5"/>
  <c r="H54" i="5"/>
  <c r="G54" i="5"/>
  <c r="F54" i="5"/>
  <c r="E54" i="5"/>
  <c r="D54" i="5"/>
  <c r="C54" i="5"/>
  <c r="B54" i="5"/>
  <c r="A54" i="5"/>
  <c r="H53" i="5"/>
  <c r="G53" i="5"/>
  <c r="F53" i="5"/>
  <c r="E53" i="5"/>
  <c r="D53" i="5"/>
  <c r="C53" i="5"/>
  <c r="B53" i="5"/>
  <c r="A53" i="5"/>
  <c r="H52" i="5"/>
  <c r="G52" i="5"/>
  <c r="F52" i="5"/>
  <c r="E52" i="5"/>
  <c r="D52" i="5"/>
  <c r="C52" i="5"/>
  <c r="B52" i="5"/>
  <c r="A52" i="5"/>
  <c r="H51" i="5"/>
  <c r="G51" i="5"/>
  <c r="F51" i="5"/>
  <c r="E51" i="5"/>
  <c r="D51" i="5"/>
  <c r="C51" i="5"/>
  <c r="B51" i="5"/>
  <c r="A51" i="5"/>
  <c r="H50" i="5"/>
  <c r="G50" i="5"/>
  <c r="F50" i="5"/>
  <c r="E50" i="5"/>
  <c r="D50" i="5"/>
  <c r="C50" i="5"/>
  <c r="B50" i="5"/>
  <c r="A50" i="5"/>
  <c r="H49" i="5"/>
  <c r="G49" i="5"/>
  <c r="F49" i="5"/>
  <c r="E49" i="5"/>
  <c r="D49" i="5"/>
  <c r="C49" i="5"/>
  <c r="B49" i="5"/>
  <c r="A49" i="5"/>
  <c r="H48" i="5"/>
  <c r="G48" i="5"/>
  <c r="F48" i="5"/>
  <c r="E48" i="5"/>
  <c r="D48" i="5"/>
  <c r="C48" i="5"/>
  <c r="B48" i="5"/>
  <c r="A48" i="5"/>
  <c r="H47" i="5"/>
  <c r="G47" i="5"/>
  <c r="F47" i="5"/>
  <c r="E47" i="5"/>
  <c r="D47" i="5"/>
  <c r="C47" i="5"/>
  <c r="B47" i="5"/>
  <c r="A47" i="5"/>
  <c r="H46" i="5"/>
  <c r="G46" i="5"/>
  <c r="F46" i="5"/>
  <c r="E46" i="5"/>
  <c r="D46" i="5"/>
  <c r="C46" i="5"/>
  <c r="B46" i="5"/>
  <c r="A46" i="5"/>
  <c r="H45" i="5"/>
  <c r="G45" i="5"/>
  <c r="F45" i="5"/>
  <c r="E45" i="5"/>
  <c r="D45" i="5"/>
  <c r="C45" i="5"/>
  <c r="B45" i="5"/>
  <c r="A45" i="5"/>
  <c r="H44" i="5"/>
  <c r="G44" i="5"/>
  <c r="F44" i="5"/>
  <c r="E44" i="5"/>
  <c r="D44" i="5"/>
  <c r="C44" i="5"/>
  <c r="B44" i="5"/>
  <c r="A44" i="5"/>
  <c r="H43" i="5"/>
  <c r="G43" i="5"/>
  <c r="F43" i="5"/>
  <c r="E43" i="5"/>
  <c r="D43" i="5"/>
  <c r="C43" i="5"/>
  <c r="B43" i="5"/>
  <c r="A43" i="5"/>
  <c r="H42" i="5"/>
  <c r="G42" i="5"/>
  <c r="F42" i="5"/>
  <c r="E42" i="5"/>
  <c r="D42" i="5"/>
  <c r="C42" i="5"/>
  <c r="B42" i="5"/>
  <c r="A42" i="5"/>
  <c r="H41" i="5"/>
  <c r="G41" i="5"/>
  <c r="F41" i="5"/>
  <c r="E41" i="5"/>
  <c r="D41" i="5"/>
  <c r="C41" i="5"/>
  <c r="B41" i="5"/>
  <c r="A41" i="5"/>
  <c r="H40" i="5"/>
  <c r="G40" i="5"/>
  <c r="F40" i="5"/>
  <c r="E40" i="5"/>
  <c r="D40" i="5"/>
  <c r="C40" i="5"/>
  <c r="B40" i="5"/>
  <c r="A40" i="5"/>
  <c r="H39" i="5"/>
  <c r="G39" i="5"/>
  <c r="F39" i="5"/>
  <c r="E39" i="5"/>
  <c r="D39" i="5"/>
  <c r="C39" i="5"/>
  <c r="B39" i="5"/>
  <c r="A39" i="5"/>
  <c r="H38" i="5"/>
  <c r="G38" i="5"/>
  <c r="F38" i="5"/>
  <c r="E38" i="5"/>
  <c r="D38" i="5"/>
  <c r="C38" i="5"/>
  <c r="B38" i="5"/>
  <c r="A38" i="5"/>
  <c r="H37" i="5"/>
  <c r="G37" i="5"/>
  <c r="F37" i="5"/>
  <c r="E37" i="5"/>
  <c r="D37" i="5"/>
  <c r="C37" i="5"/>
  <c r="B37" i="5"/>
  <c r="A37" i="5"/>
  <c r="H36" i="5"/>
  <c r="G36" i="5"/>
  <c r="F36" i="5"/>
  <c r="E36" i="5"/>
  <c r="D36" i="5"/>
  <c r="C36" i="5"/>
  <c r="B36" i="5"/>
  <c r="A36" i="5"/>
  <c r="H35" i="5"/>
  <c r="G35" i="5"/>
  <c r="F35" i="5"/>
  <c r="E35" i="5"/>
  <c r="D35" i="5"/>
  <c r="C35" i="5"/>
  <c r="B35" i="5"/>
  <c r="A35" i="5"/>
  <c r="H34" i="5"/>
  <c r="G34" i="5"/>
  <c r="F34" i="5"/>
  <c r="E34" i="5"/>
  <c r="D34" i="5"/>
  <c r="C34" i="5"/>
  <c r="B34" i="5"/>
  <c r="A34" i="5"/>
  <c r="H33" i="5"/>
  <c r="G33" i="5"/>
  <c r="F33" i="5"/>
  <c r="E33" i="5"/>
  <c r="D33" i="5"/>
  <c r="C33" i="5"/>
  <c r="B33" i="5"/>
  <c r="A33" i="5"/>
  <c r="H32" i="5"/>
  <c r="G32" i="5"/>
  <c r="F32" i="5"/>
  <c r="E32" i="5"/>
  <c r="D32" i="5"/>
  <c r="C32" i="5"/>
  <c r="B32" i="5"/>
  <c r="A32" i="5"/>
  <c r="H31" i="5"/>
  <c r="G31" i="5"/>
  <c r="F31" i="5"/>
  <c r="E31" i="5"/>
  <c r="D31" i="5"/>
  <c r="C31" i="5"/>
  <c r="B31" i="5"/>
  <c r="A31" i="5"/>
  <c r="H30" i="5"/>
  <c r="G30" i="5"/>
  <c r="F30" i="5"/>
  <c r="E30" i="5"/>
  <c r="D30" i="5"/>
  <c r="C30" i="5"/>
  <c r="B30" i="5"/>
  <c r="A30" i="5"/>
  <c r="H29" i="5"/>
  <c r="G29" i="5"/>
  <c r="F29" i="5"/>
  <c r="E29" i="5"/>
  <c r="D29" i="5"/>
  <c r="C29" i="5"/>
  <c r="B29" i="5"/>
  <c r="A29" i="5"/>
  <c r="H28" i="5"/>
  <c r="G28" i="5"/>
  <c r="F28" i="5"/>
  <c r="E28" i="5"/>
  <c r="D28" i="5"/>
  <c r="C28" i="5"/>
  <c r="B28" i="5"/>
  <c r="A28" i="5"/>
  <c r="H27" i="5"/>
  <c r="G27" i="5"/>
  <c r="F27" i="5"/>
  <c r="E27" i="5"/>
  <c r="D27" i="5"/>
  <c r="C27" i="5"/>
  <c r="B27" i="5"/>
  <c r="A27" i="5"/>
  <c r="H26" i="5"/>
  <c r="G26" i="5"/>
  <c r="F26" i="5"/>
  <c r="E26" i="5"/>
  <c r="D26" i="5"/>
  <c r="C26" i="5"/>
  <c r="B26" i="5"/>
  <c r="A26" i="5"/>
  <c r="H25" i="5"/>
  <c r="G25" i="5"/>
  <c r="F25" i="5"/>
  <c r="E25" i="5"/>
  <c r="D25" i="5"/>
  <c r="C25" i="5"/>
  <c r="B25" i="5"/>
  <c r="A25" i="5"/>
  <c r="H24" i="5"/>
  <c r="G24" i="5"/>
  <c r="F24" i="5"/>
  <c r="E24" i="5"/>
  <c r="D24" i="5"/>
  <c r="C24" i="5"/>
  <c r="B24" i="5"/>
  <c r="A24" i="5"/>
  <c r="H23" i="5"/>
  <c r="G23" i="5"/>
  <c r="F23" i="5"/>
  <c r="E23" i="5"/>
  <c r="D23" i="5"/>
  <c r="C23" i="5"/>
  <c r="B23" i="5"/>
  <c r="A23" i="5"/>
  <c r="H22" i="5"/>
  <c r="G22" i="5"/>
  <c r="F22" i="5"/>
  <c r="E22" i="5"/>
  <c r="D22" i="5"/>
  <c r="C22" i="5"/>
  <c r="B22" i="5"/>
  <c r="A22" i="5"/>
  <c r="H21" i="5"/>
  <c r="G21" i="5"/>
  <c r="F21" i="5"/>
  <c r="E21" i="5"/>
  <c r="D21" i="5"/>
  <c r="C21" i="5"/>
  <c r="B21" i="5"/>
  <c r="A21" i="5"/>
  <c r="H20" i="5"/>
  <c r="G20" i="5"/>
  <c r="F20" i="5"/>
  <c r="E20" i="5"/>
  <c r="D20" i="5"/>
  <c r="C20" i="5"/>
  <c r="B20" i="5"/>
  <c r="A20" i="5"/>
  <c r="H19" i="5"/>
  <c r="G19" i="5"/>
  <c r="F19" i="5"/>
  <c r="E19" i="5"/>
  <c r="D19" i="5"/>
  <c r="C19" i="5"/>
  <c r="B19" i="5"/>
  <c r="A19" i="5"/>
  <c r="H18" i="5"/>
  <c r="G18" i="5"/>
  <c r="F18" i="5"/>
  <c r="E18" i="5"/>
  <c r="D18" i="5"/>
  <c r="C18" i="5"/>
  <c r="B18" i="5"/>
  <c r="A18" i="5"/>
  <c r="H17" i="5"/>
  <c r="G17" i="5"/>
  <c r="F17" i="5"/>
  <c r="E17" i="5"/>
  <c r="D17" i="5"/>
  <c r="C17" i="5"/>
  <c r="B17" i="5"/>
  <c r="A17" i="5"/>
  <c r="H16" i="5"/>
  <c r="G16" i="5"/>
  <c r="F16" i="5"/>
  <c r="E16" i="5"/>
  <c r="D16" i="5"/>
  <c r="C16" i="5"/>
  <c r="B16" i="5"/>
  <c r="A16" i="5"/>
  <c r="H15" i="5"/>
  <c r="G15" i="5"/>
  <c r="F15" i="5"/>
  <c r="E15" i="5"/>
  <c r="D15" i="5"/>
  <c r="C15" i="5"/>
  <c r="B15" i="5"/>
  <c r="A15" i="5"/>
  <c r="H14" i="5"/>
  <c r="G14" i="5"/>
  <c r="F14" i="5"/>
  <c r="E14" i="5"/>
  <c r="D14" i="5"/>
  <c r="C14" i="5"/>
  <c r="B14" i="5"/>
  <c r="A14" i="5"/>
  <c r="H13" i="5"/>
  <c r="G13" i="5"/>
  <c r="F13" i="5"/>
  <c r="E13" i="5"/>
  <c r="D13" i="5"/>
  <c r="C13" i="5"/>
  <c r="B13" i="5"/>
  <c r="A13" i="5"/>
  <c r="A11" i="5"/>
  <c r="A10" i="5"/>
  <c r="A20" i="4"/>
  <c r="A19" i="4"/>
  <c r="A18" i="4"/>
  <c r="H17" i="4"/>
  <c r="G17" i="4"/>
  <c r="F17" i="4"/>
  <c r="E17" i="4"/>
  <c r="D17" i="4"/>
  <c r="C17" i="4"/>
  <c r="B17" i="4"/>
  <c r="A17" i="4"/>
  <c r="H16" i="4"/>
  <c r="G16" i="4"/>
  <c r="F16" i="4"/>
  <c r="E16" i="4"/>
  <c r="D16" i="4"/>
  <c r="C16" i="4"/>
  <c r="B16" i="4"/>
  <c r="A16" i="4"/>
  <c r="H15" i="4"/>
  <c r="G15" i="4"/>
  <c r="F15" i="4"/>
  <c r="E15" i="4"/>
  <c r="D15" i="4"/>
  <c r="C15" i="4"/>
  <c r="B15" i="4"/>
  <c r="A15" i="4"/>
  <c r="H14" i="4"/>
  <c r="G14" i="4"/>
  <c r="F14" i="4"/>
  <c r="E14" i="4"/>
  <c r="D14" i="4"/>
  <c r="C14" i="4"/>
  <c r="B14" i="4"/>
  <c r="A14" i="4"/>
  <c r="H13" i="4"/>
  <c r="G13" i="4"/>
  <c r="F13" i="4"/>
  <c r="E13" i="4"/>
  <c r="D13" i="4"/>
  <c r="C13" i="4"/>
  <c r="B13" i="4"/>
  <c r="A13" i="4"/>
  <c r="A11" i="4"/>
  <c r="A10" i="4"/>
  <c r="H364" i="3"/>
  <c r="G364" i="3"/>
  <c r="F364" i="3"/>
  <c r="E364" i="3"/>
  <c r="D364" i="3"/>
  <c r="C364" i="3"/>
  <c r="A364" i="3"/>
  <c r="H363" i="3"/>
  <c r="G363" i="3"/>
  <c r="F363" i="3"/>
  <c r="E363" i="3"/>
  <c r="D363" i="3"/>
  <c r="C363" i="3"/>
  <c r="A363" i="3"/>
  <c r="H362" i="3"/>
  <c r="G362" i="3"/>
  <c r="F362" i="3"/>
  <c r="E362" i="3"/>
  <c r="D362" i="3"/>
  <c r="C362" i="3"/>
  <c r="A362" i="3"/>
  <c r="H361" i="3"/>
  <c r="G361" i="3"/>
  <c r="F361" i="3"/>
  <c r="E361" i="3"/>
  <c r="D361" i="3"/>
  <c r="C361" i="3"/>
  <c r="A361" i="3"/>
  <c r="H360" i="3"/>
  <c r="G360" i="3"/>
  <c r="F360" i="3"/>
  <c r="E360" i="3"/>
  <c r="D360" i="3"/>
  <c r="C360" i="3"/>
  <c r="A360" i="3"/>
  <c r="H359" i="3"/>
  <c r="G359" i="3"/>
  <c r="F359" i="3"/>
  <c r="E359" i="3"/>
  <c r="D359" i="3"/>
  <c r="C359" i="3"/>
  <c r="A359" i="3"/>
  <c r="H358" i="3"/>
  <c r="G358" i="3"/>
  <c r="F358" i="3"/>
  <c r="E358" i="3"/>
  <c r="D358" i="3"/>
  <c r="C358" i="3"/>
  <c r="A358" i="3"/>
  <c r="H357" i="3"/>
  <c r="G357" i="3"/>
  <c r="F357" i="3"/>
  <c r="E357" i="3"/>
  <c r="D357" i="3"/>
  <c r="C357" i="3"/>
  <c r="A357" i="3"/>
  <c r="H356" i="3"/>
  <c r="G356" i="3"/>
  <c r="F356" i="3"/>
  <c r="E356" i="3"/>
  <c r="D356" i="3"/>
  <c r="C356" i="3"/>
  <c r="A356" i="3"/>
  <c r="H355" i="3"/>
  <c r="G355" i="3"/>
  <c r="F355" i="3"/>
  <c r="E355" i="3"/>
  <c r="D355" i="3"/>
  <c r="C355" i="3"/>
  <c r="A355" i="3"/>
  <c r="H354" i="3"/>
  <c r="G354" i="3"/>
  <c r="F354" i="3"/>
  <c r="E354" i="3"/>
  <c r="D354" i="3"/>
  <c r="C354" i="3"/>
  <c r="A354" i="3"/>
  <c r="H353" i="3"/>
  <c r="G353" i="3"/>
  <c r="F353" i="3"/>
  <c r="E353" i="3"/>
  <c r="D353" i="3"/>
  <c r="C353" i="3"/>
  <c r="A353" i="3"/>
  <c r="H352" i="3"/>
  <c r="G352" i="3"/>
  <c r="F352" i="3"/>
  <c r="E352" i="3"/>
  <c r="D352" i="3"/>
  <c r="C352" i="3"/>
  <c r="A352" i="3"/>
  <c r="H351" i="3"/>
  <c r="G351" i="3"/>
  <c r="F351" i="3"/>
  <c r="E351" i="3"/>
  <c r="D351" i="3"/>
  <c r="C351" i="3"/>
  <c r="A351" i="3"/>
  <c r="H350" i="3"/>
  <c r="G350" i="3"/>
  <c r="F350" i="3"/>
  <c r="E350" i="3"/>
  <c r="D350" i="3"/>
  <c r="C350" i="3"/>
  <c r="A350" i="3"/>
  <c r="H349" i="3"/>
  <c r="G349" i="3"/>
  <c r="F349" i="3"/>
  <c r="E349" i="3"/>
  <c r="D349" i="3"/>
  <c r="C349" i="3"/>
  <c r="A349" i="3"/>
  <c r="H348" i="3"/>
  <c r="G348" i="3"/>
  <c r="F348" i="3"/>
  <c r="E348" i="3"/>
  <c r="D348" i="3"/>
  <c r="C348" i="3"/>
  <c r="A348" i="3"/>
  <c r="H347" i="3"/>
  <c r="G347" i="3"/>
  <c r="F347" i="3"/>
  <c r="E347" i="3"/>
  <c r="D347" i="3"/>
  <c r="C347" i="3"/>
  <c r="A347" i="3"/>
  <c r="H346" i="3"/>
  <c r="G346" i="3"/>
  <c r="F346" i="3"/>
  <c r="E346" i="3"/>
  <c r="D346" i="3"/>
  <c r="C346" i="3"/>
  <c r="A346" i="3"/>
  <c r="H345" i="3"/>
  <c r="G345" i="3"/>
  <c r="F345" i="3"/>
  <c r="E345" i="3"/>
  <c r="D345" i="3"/>
  <c r="C345" i="3"/>
  <c r="A345" i="3"/>
  <c r="H344" i="3"/>
  <c r="G344" i="3"/>
  <c r="F344" i="3"/>
  <c r="E344" i="3"/>
  <c r="D344" i="3"/>
  <c r="C344" i="3"/>
  <c r="A344" i="3"/>
  <c r="H343" i="3"/>
  <c r="G343" i="3"/>
  <c r="F343" i="3"/>
  <c r="E343" i="3"/>
  <c r="D343" i="3"/>
  <c r="C343" i="3"/>
  <c r="A343" i="3"/>
  <c r="H342" i="3"/>
  <c r="G342" i="3"/>
  <c r="F342" i="3"/>
  <c r="E342" i="3"/>
  <c r="D342" i="3"/>
  <c r="C342" i="3"/>
  <c r="B342" i="3"/>
  <c r="A342" i="3"/>
  <c r="H341" i="3"/>
  <c r="G341" i="3"/>
  <c r="F341" i="3"/>
  <c r="E341" i="3"/>
  <c r="D341" i="3"/>
  <c r="C341" i="3"/>
  <c r="B341" i="3"/>
  <c r="A341" i="3"/>
  <c r="H340" i="3"/>
  <c r="G340" i="3"/>
  <c r="F340" i="3"/>
  <c r="E340" i="3"/>
  <c r="D340" i="3"/>
  <c r="C340" i="3"/>
  <c r="B340" i="3"/>
  <c r="A340" i="3"/>
  <c r="H339" i="3"/>
  <c r="G339" i="3"/>
  <c r="F339" i="3"/>
  <c r="E339" i="3"/>
  <c r="D339" i="3"/>
  <c r="C339" i="3"/>
  <c r="B339" i="3"/>
  <c r="A339" i="3"/>
  <c r="H338" i="3"/>
  <c r="G338" i="3"/>
  <c r="F338" i="3"/>
  <c r="E338" i="3"/>
  <c r="D338" i="3"/>
  <c r="C338" i="3"/>
  <c r="B338" i="3"/>
  <c r="A338" i="3"/>
  <c r="H337" i="3"/>
  <c r="G337" i="3"/>
  <c r="F337" i="3"/>
  <c r="E337" i="3"/>
  <c r="D337" i="3"/>
  <c r="C337" i="3"/>
  <c r="B337" i="3"/>
  <c r="A337" i="3"/>
  <c r="H336" i="3"/>
  <c r="G336" i="3"/>
  <c r="F336" i="3"/>
  <c r="E336" i="3"/>
  <c r="D336" i="3"/>
  <c r="C336" i="3"/>
  <c r="B336" i="3"/>
  <c r="A336" i="3"/>
  <c r="H335" i="3"/>
  <c r="G335" i="3"/>
  <c r="F335" i="3"/>
  <c r="E335" i="3"/>
  <c r="D335" i="3"/>
  <c r="C335" i="3"/>
  <c r="B335" i="3"/>
  <c r="A335" i="3"/>
  <c r="H334" i="3"/>
  <c r="G334" i="3"/>
  <c r="F334" i="3"/>
  <c r="E334" i="3"/>
  <c r="D334" i="3"/>
  <c r="C334" i="3"/>
  <c r="B334" i="3"/>
  <c r="A334" i="3"/>
  <c r="H333" i="3"/>
  <c r="G333" i="3"/>
  <c r="F333" i="3"/>
  <c r="E333" i="3"/>
  <c r="D333" i="3"/>
  <c r="C333" i="3"/>
  <c r="B333" i="3"/>
  <c r="A333" i="3"/>
  <c r="H332" i="3"/>
  <c r="G332" i="3"/>
  <c r="F332" i="3"/>
  <c r="E332" i="3"/>
  <c r="D332" i="3"/>
  <c r="C332" i="3"/>
  <c r="B332" i="3"/>
  <c r="A332" i="3"/>
  <c r="H331" i="3"/>
  <c r="G331" i="3"/>
  <c r="F331" i="3"/>
  <c r="E331" i="3"/>
  <c r="D331" i="3"/>
  <c r="C331" i="3"/>
  <c r="B331" i="3"/>
  <c r="A331" i="3"/>
  <c r="H330" i="3"/>
  <c r="G330" i="3"/>
  <c r="F330" i="3"/>
  <c r="E330" i="3"/>
  <c r="D330" i="3"/>
  <c r="C330" i="3"/>
  <c r="B330" i="3"/>
  <c r="A330" i="3"/>
  <c r="H329" i="3"/>
  <c r="G329" i="3"/>
  <c r="F329" i="3"/>
  <c r="E329" i="3"/>
  <c r="D329" i="3"/>
  <c r="C329" i="3"/>
  <c r="B329" i="3"/>
  <c r="A329" i="3"/>
  <c r="H328" i="3"/>
  <c r="G328" i="3"/>
  <c r="F328" i="3"/>
  <c r="E328" i="3"/>
  <c r="D328" i="3"/>
  <c r="C328" i="3"/>
  <c r="B328" i="3"/>
  <c r="A328" i="3"/>
  <c r="H327" i="3"/>
  <c r="G327" i="3"/>
  <c r="F327" i="3"/>
  <c r="E327" i="3"/>
  <c r="D327" i="3"/>
  <c r="C327" i="3"/>
  <c r="B327" i="3"/>
  <c r="A327" i="3"/>
  <c r="H326" i="3"/>
  <c r="G326" i="3"/>
  <c r="F326" i="3"/>
  <c r="E326" i="3"/>
  <c r="D326" i="3"/>
  <c r="C326" i="3"/>
  <c r="B326" i="3"/>
  <c r="A326" i="3"/>
  <c r="H325" i="3"/>
  <c r="G325" i="3"/>
  <c r="F325" i="3"/>
  <c r="E325" i="3"/>
  <c r="D325" i="3"/>
  <c r="C325" i="3"/>
  <c r="B325" i="3"/>
  <c r="A325" i="3"/>
  <c r="H324" i="3"/>
  <c r="G324" i="3"/>
  <c r="F324" i="3"/>
  <c r="E324" i="3"/>
  <c r="D324" i="3"/>
  <c r="C324" i="3"/>
  <c r="B324" i="3"/>
  <c r="A324" i="3"/>
  <c r="H323" i="3"/>
  <c r="G323" i="3"/>
  <c r="F323" i="3"/>
  <c r="E323" i="3"/>
  <c r="D323" i="3"/>
  <c r="C323" i="3"/>
  <c r="B323" i="3"/>
  <c r="A323" i="3"/>
  <c r="H322" i="3"/>
  <c r="G322" i="3"/>
  <c r="F322" i="3"/>
  <c r="E322" i="3"/>
  <c r="D322" i="3"/>
  <c r="C322" i="3"/>
  <c r="B322" i="3"/>
  <c r="A322" i="3"/>
  <c r="H321" i="3"/>
  <c r="G321" i="3"/>
  <c r="F321" i="3"/>
  <c r="E321" i="3"/>
  <c r="D321" i="3"/>
  <c r="C321" i="3"/>
  <c r="B321" i="3"/>
  <c r="A321" i="3"/>
  <c r="H320" i="3"/>
  <c r="G320" i="3"/>
  <c r="F320" i="3"/>
  <c r="E320" i="3"/>
  <c r="D320" i="3"/>
  <c r="C320" i="3"/>
  <c r="B320" i="3"/>
  <c r="A320" i="3"/>
  <c r="H319" i="3"/>
  <c r="G319" i="3"/>
  <c r="F319" i="3"/>
  <c r="E319" i="3"/>
  <c r="D319" i="3"/>
  <c r="C319" i="3"/>
  <c r="B319" i="3"/>
  <c r="A319" i="3"/>
  <c r="H318" i="3"/>
  <c r="G318" i="3"/>
  <c r="F318" i="3"/>
  <c r="E318" i="3"/>
  <c r="D318" i="3"/>
  <c r="C318" i="3"/>
  <c r="B318" i="3"/>
  <c r="A318" i="3"/>
  <c r="H317" i="3"/>
  <c r="G317" i="3"/>
  <c r="F317" i="3"/>
  <c r="E317" i="3"/>
  <c r="D317" i="3"/>
  <c r="C317" i="3"/>
  <c r="B317" i="3"/>
  <c r="A317" i="3"/>
  <c r="H316" i="3"/>
  <c r="G316" i="3"/>
  <c r="F316" i="3"/>
  <c r="E316" i="3"/>
  <c r="D316" i="3"/>
  <c r="C316" i="3"/>
  <c r="B316" i="3"/>
  <c r="A316" i="3"/>
  <c r="H315" i="3"/>
  <c r="G315" i="3"/>
  <c r="F315" i="3"/>
  <c r="E315" i="3"/>
  <c r="D315" i="3"/>
  <c r="C315" i="3"/>
  <c r="B315" i="3"/>
  <c r="A315" i="3"/>
  <c r="H314" i="3"/>
  <c r="G314" i="3"/>
  <c r="F314" i="3"/>
  <c r="E314" i="3"/>
  <c r="D314" i="3"/>
  <c r="C314" i="3"/>
  <c r="B314" i="3"/>
  <c r="A314" i="3"/>
  <c r="H313" i="3"/>
  <c r="G313" i="3"/>
  <c r="F313" i="3"/>
  <c r="E313" i="3"/>
  <c r="D313" i="3"/>
  <c r="C313" i="3"/>
  <c r="B313" i="3"/>
  <c r="A313" i="3"/>
  <c r="H312" i="3"/>
  <c r="G312" i="3"/>
  <c r="F312" i="3"/>
  <c r="E312" i="3"/>
  <c r="D312" i="3"/>
  <c r="C312" i="3"/>
  <c r="B312" i="3"/>
  <c r="A312" i="3"/>
  <c r="H311" i="3"/>
  <c r="G311" i="3"/>
  <c r="F311" i="3"/>
  <c r="E311" i="3"/>
  <c r="D311" i="3"/>
  <c r="C311" i="3"/>
  <c r="B311" i="3"/>
  <c r="A311" i="3"/>
  <c r="H310" i="3"/>
  <c r="G310" i="3"/>
  <c r="F310" i="3"/>
  <c r="E310" i="3"/>
  <c r="D310" i="3"/>
  <c r="C310" i="3"/>
  <c r="B310" i="3"/>
  <c r="A310" i="3"/>
  <c r="H309" i="3"/>
  <c r="G309" i="3"/>
  <c r="F309" i="3"/>
  <c r="E309" i="3"/>
  <c r="D309" i="3"/>
  <c r="C309" i="3"/>
  <c r="B309" i="3"/>
  <c r="A309" i="3"/>
  <c r="H308" i="3"/>
  <c r="G308" i="3"/>
  <c r="F308" i="3"/>
  <c r="E308" i="3"/>
  <c r="D308" i="3"/>
  <c r="C308" i="3"/>
  <c r="B308" i="3"/>
  <c r="A308" i="3"/>
  <c r="H307" i="3"/>
  <c r="G307" i="3"/>
  <c r="F307" i="3"/>
  <c r="E307" i="3"/>
  <c r="D307" i="3"/>
  <c r="C307" i="3"/>
  <c r="B307" i="3"/>
  <c r="A307" i="3"/>
  <c r="H306" i="3"/>
  <c r="G306" i="3"/>
  <c r="F306" i="3"/>
  <c r="E306" i="3"/>
  <c r="D306" i="3"/>
  <c r="C306" i="3"/>
  <c r="B306" i="3"/>
  <c r="A306" i="3"/>
  <c r="H305" i="3"/>
  <c r="G305" i="3"/>
  <c r="F305" i="3"/>
  <c r="E305" i="3"/>
  <c r="D305" i="3"/>
  <c r="C305" i="3"/>
  <c r="B305" i="3"/>
  <c r="A305" i="3"/>
  <c r="H304" i="3"/>
  <c r="G304" i="3"/>
  <c r="F304" i="3"/>
  <c r="E304" i="3"/>
  <c r="D304" i="3"/>
  <c r="C304" i="3"/>
  <c r="B304" i="3"/>
  <c r="A304" i="3"/>
  <c r="H303" i="3"/>
  <c r="G303" i="3"/>
  <c r="F303" i="3"/>
  <c r="E303" i="3"/>
  <c r="D303" i="3"/>
  <c r="C303" i="3"/>
  <c r="B303" i="3"/>
  <c r="A303" i="3"/>
  <c r="H302" i="3"/>
  <c r="G302" i="3"/>
  <c r="F302" i="3"/>
  <c r="E302" i="3"/>
  <c r="D302" i="3"/>
  <c r="C302" i="3"/>
  <c r="B302" i="3"/>
  <c r="A302" i="3"/>
  <c r="H301" i="3"/>
  <c r="G301" i="3"/>
  <c r="F301" i="3"/>
  <c r="E301" i="3"/>
  <c r="D301" i="3"/>
  <c r="C301" i="3"/>
  <c r="B301" i="3"/>
  <c r="A301" i="3"/>
  <c r="H300" i="3"/>
  <c r="G300" i="3"/>
  <c r="F300" i="3"/>
  <c r="E300" i="3"/>
  <c r="D300" i="3"/>
  <c r="C300" i="3"/>
  <c r="B300" i="3"/>
  <c r="A300" i="3"/>
  <c r="H299" i="3"/>
  <c r="G299" i="3"/>
  <c r="F299" i="3"/>
  <c r="E299" i="3"/>
  <c r="D299" i="3"/>
  <c r="C299" i="3"/>
  <c r="B299" i="3"/>
  <c r="A299" i="3"/>
  <c r="H298" i="3"/>
  <c r="G298" i="3"/>
  <c r="F298" i="3"/>
  <c r="E298" i="3"/>
  <c r="D298" i="3"/>
  <c r="C298" i="3"/>
  <c r="B298" i="3"/>
  <c r="A298" i="3"/>
  <c r="H297" i="3"/>
  <c r="G297" i="3"/>
  <c r="F297" i="3"/>
  <c r="E297" i="3"/>
  <c r="D297" i="3"/>
  <c r="C297" i="3"/>
  <c r="B297" i="3"/>
  <c r="A297" i="3"/>
  <c r="H296" i="3"/>
  <c r="G296" i="3"/>
  <c r="F296" i="3"/>
  <c r="E296" i="3"/>
  <c r="D296" i="3"/>
  <c r="C296" i="3"/>
  <c r="B296" i="3"/>
  <c r="A296" i="3"/>
  <c r="H295" i="3"/>
  <c r="G295" i="3"/>
  <c r="F295" i="3"/>
  <c r="E295" i="3"/>
  <c r="D295" i="3"/>
  <c r="C295" i="3"/>
  <c r="B295" i="3"/>
  <c r="A295" i="3"/>
  <c r="H294" i="3"/>
  <c r="G294" i="3"/>
  <c r="F294" i="3"/>
  <c r="E294" i="3"/>
  <c r="D294" i="3"/>
  <c r="C294" i="3"/>
  <c r="B294" i="3"/>
  <c r="A294" i="3"/>
  <c r="H293" i="3"/>
  <c r="G293" i="3"/>
  <c r="F293" i="3"/>
  <c r="E293" i="3"/>
  <c r="D293" i="3"/>
  <c r="C293" i="3"/>
  <c r="B293" i="3"/>
  <c r="A293" i="3"/>
  <c r="H292" i="3"/>
  <c r="G292" i="3"/>
  <c r="F292" i="3"/>
  <c r="E292" i="3"/>
  <c r="D292" i="3"/>
  <c r="C292" i="3"/>
  <c r="B292" i="3"/>
  <c r="A292" i="3"/>
  <c r="H291" i="3"/>
  <c r="G291" i="3"/>
  <c r="F291" i="3"/>
  <c r="E291" i="3"/>
  <c r="D291" i="3"/>
  <c r="C291" i="3"/>
  <c r="B291" i="3"/>
  <c r="A291" i="3"/>
  <c r="H290" i="3"/>
  <c r="G290" i="3"/>
  <c r="F290" i="3"/>
  <c r="E290" i="3"/>
  <c r="D290" i="3"/>
  <c r="C290" i="3"/>
  <c r="B290" i="3"/>
  <c r="A290" i="3"/>
  <c r="H289" i="3"/>
  <c r="G289" i="3"/>
  <c r="F289" i="3"/>
  <c r="E289" i="3"/>
  <c r="D289" i="3"/>
  <c r="C289" i="3"/>
  <c r="B289" i="3"/>
  <c r="A289" i="3"/>
  <c r="H288" i="3"/>
  <c r="G288" i="3"/>
  <c r="F288" i="3"/>
  <c r="E288" i="3"/>
  <c r="D288" i="3"/>
  <c r="C288" i="3"/>
  <c r="B288" i="3"/>
  <c r="A288" i="3"/>
  <c r="H287" i="3"/>
  <c r="G287" i="3"/>
  <c r="F287" i="3"/>
  <c r="E287" i="3"/>
  <c r="D287" i="3"/>
  <c r="C287" i="3"/>
  <c r="B287" i="3"/>
  <c r="A287" i="3"/>
  <c r="H286" i="3"/>
  <c r="G286" i="3"/>
  <c r="F286" i="3"/>
  <c r="E286" i="3"/>
  <c r="D286" i="3"/>
  <c r="C286" i="3"/>
  <c r="B286" i="3"/>
  <c r="A286" i="3"/>
  <c r="H285" i="3"/>
  <c r="G285" i="3"/>
  <c r="F285" i="3"/>
  <c r="E285" i="3"/>
  <c r="D285" i="3"/>
  <c r="C285" i="3"/>
  <c r="B285" i="3"/>
  <c r="A285" i="3"/>
  <c r="H284" i="3"/>
  <c r="G284" i="3"/>
  <c r="F284" i="3"/>
  <c r="E284" i="3"/>
  <c r="D284" i="3"/>
  <c r="C284" i="3"/>
  <c r="B284" i="3"/>
  <c r="A284" i="3"/>
  <c r="H283" i="3"/>
  <c r="G283" i="3"/>
  <c r="F283" i="3"/>
  <c r="E283" i="3"/>
  <c r="D283" i="3"/>
  <c r="C283" i="3"/>
  <c r="B283" i="3"/>
  <c r="A283" i="3"/>
  <c r="H282" i="3"/>
  <c r="G282" i="3"/>
  <c r="F282" i="3"/>
  <c r="E282" i="3"/>
  <c r="D282" i="3"/>
  <c r="C282" i="3"/>
  <c r="B282" i="3"/>
  <c r="A282" i="3"/>
  <c r="H281" i="3"/>
  <c r="G281" i="3"/>
  <c r="F281" i="3"/>
  <c r="E281" i="3"/>
  <c r="D281" i="3"/>
  <c r="C281" i="3"/>
  <c r="B281" i="3"/>
  <c r="A281" i="3"/>
  <c r="H280" i="3"/>
  <c r="G280" i="3"/>
  <c r="F280" i="3"/>
  <c r="E280" i="3"/>
  <c r="D280" i="3"/>
  <c r="C280" i="3"/>
  <c r="B280" i="3"/>
  <c r="A280" i="3"/>
  <c r="H279" i="3"/>
  <c r="G279" i="3"/>
  <c r="F279" i="3"/>
  <c r="E279" i="3"/>
  <c r="D279" i="3"/>
  <c r="C279" i="3"/>
  <c r="B279" i="3"/>
  <c r="A279" i="3"/>
  <c r="H278" i="3"/>
  <c r="G278" i="3"/>
  <c r="F278" i="3"/>
  <c r="E278" i="3"/>
  <c r="D278" i="3"/>
  <c r="C278" i="3"/>
  <c r="B278" i="3"/>
  <c r="A278" i="3"/>
  <c r="H277" i="3"/>
  <c r="G277" i="3"/>
  <c r="F277" i="3"/>
  <c r="E277" i="3"/>
  <c r="D277" i="3"/>
  <c r="C277" i="3"/>
  <c r="B277" i="3"/>
  <c r="A277" i="3"/>
  <c r="H276" i="3"/>
  <c r="G276" i="3"/>
  <c r="F276" i="3"/>
  <c r="E276" i="3"/>
  <c r="D276" i="3"/>
  <c r="C276" i="3"/>
  <c r="B276" i="3"/>
  <c r="A276" i="3"/>
  <c r="H275" i="3"/>
  <c r="G275" i="3"/>
  <c r="F275" i="3"/>
  <c r="E275" i="3"/>
  <c r="D275" i="3"/>
  <c r="C275" i="3"/>
  <c r="B275" i="3"/>
  <c r="A275" i="3"/>
  <c r="H274" i="3"/>
  <c r="G274" i="3"/>
  <c r="F274" i="3"/>
  <c r="E274" i="3"/>
  <c r="D274" i="3"/>
  <c r="C274" i="3"/>
  <c r="B274" i="3"/>
  <c r="A274" i="3"/>
  <c r="H273" i="3"/>
  <c r="G273" i="3"/>
  <c r="F273" i="3"/>
  <c r="E273" i="3"/>
  <c r="D273" i="3"/>
  <c r="C273" i="3"/>
  <c r="B273" i="3"/>
  <c r="A273" i="3"/>
  <c r="H272" i="3"/>
  <c r="G272" i="3"/>
  <c r="F272" i="3"/>
  <c r="E272" i="3"/>
  <c r="D272" i="3"/>
  <c r="C272" i="3"/>
  <c r="B272" i="3"/>
  <c r="A272" i="3"/>
  <c r="H271" i="3"/>
  <c r="G271" i="3"/>
  <c r="F271" i="3"/>
  <c r="E271" i="3"/>
  <c r="D271" i="3"/>
  <c r="C271" i="3"/>
  <c r="B271" i="3"/>
  <c r="A271" i="3"/>
  <c r="H270" i="3"/>
  <c r="G270" i="3"/>
  <c r="F270" i="3"/>
  <c r="E270" i="3"/>
  <c r="D270" i="3"/>
  <c r="C270" i="3"/>
  <c r="B270" i="3"/>
  <c r="A270" i="3"/>
  <c r="H269" i="3"/>
  <c r="G269" i="3"/>
  <c r="F269" i="3"/>
  <c r="E269" i="3"/>
  <c r="D269" i="3"/>
  <c r="C269" i="3"/>
  <c r="B269" i="3"/>
  <c r="A269" i="3"/>
  <c r="H268" i="3"/>
  <c r="G268" i="3"/>
  <c r="F268" i="3"/>
  <c r="E268" i="3"/>
  <c r="D268" i="3"/>
  <c r="C268" i="3"/>
  <c r="B268" i="3"/>
  <c r="A268" i="3"/>
  <c r="H267" i="3"/>
  <c r="G267" i="3"/>
  <c r="F267" i="3"/>
  <c r="E267" i="3"/>
  <c r="D267" i="3"/>
  <c r="C267" i="3"/>
  <c r="B267" i="3"/>
  <c r="A267" i="3"/>
  <c r="H266" i="3"/>
  <c r="G266" i="3"/>
  <c r="F266" i="3"/>
  <c r="E266" i="3"/>
  <c r="D266" i="3"/>
  <c r="C266" i="3"/>
  <c r="B266" i="3"/>
  <c r="A266" i="3"/>
  <c r="H265" i="3"/>
  <c r="G265" i="3"/>
  <c r="F265" i="3"/>
  <c r="E265" i="3"/>
  <c r="D265" i="3"/>
  <c r="C265" i="3"/>
  <c r="B265" i="3"/>
  <c r="A265" i="3"/>
  <c r="H264" i="3"/>
  <c r="G264" i="3"/>
  <c r="F264" i="3"/>
  <c r="E264" i="3"/>
  <c r="D264" i="3"/>
  <c r="C264" i="3"/>
  <c r="B264" i="3"/>
  <c r="A264" i="3"/>
  <c r="H263" i="3"/>
  <c r="G263" i="3"/>
  <c r="F263" i="3"/>
  <c r="E263" i="3"/>
  <c r="D263" i="3"/>
  <c r="C263" i="3"/>
  <c r="B263" i="3"/>
  <c r="A263" i="3"/>
  <c r="H262" i="3"/>
  <c r="G262" i="3"/>
  <c r="F262" i="3"/>
  <c r="E262" i="3"/>
  <c r="D262" i="3"/>
  <c r="C262" i="3"/>
  <c r="B262" i="3"/>
  <c r="A262" i="3"/>
  <c r="H261" i="3"/>
  <c r="G261" i="3"/>
  <c r="F261" i="3"/>
  <c r="E261" i="3"/>
  <c r="D261" i="3"/>
  <c r="C261" i="3"/>
  <c r="B261" i="3"/>
  <c r="A261" i="3"/>
  <c r="H260" i="3"/>
  <c r="G260" i="3"/>
  <c r="F260" i="3"/>
  <c r="E260" i="3"/>
  <c r="D260" i="3"/>
  <c r="C260" i="3"/>
  <c r="B260" i="3"/>
  <c r="A260" i="3"/>
  <c r="H259" i="3"/>
  <c r="G259" i="3"/>
  <c r="F259" i="3"/>
  <c r="E259" i="3"/>
  <c r="D259" i="3"/>
  <c r="C259" i="3"/>
  <c r="B259" i="3"/>
  <c r="A259" i="3"/>
  <c r="H258" i="3"/>
  <c r="G258" i="3"/>
  <c r="F258" i="3"/>
  <c r="E258" i="3"/>
  <c r="D258" i="3"/>
  <c r="C258" i="3"/>
  <c r="B258" i="3"/>
  <c r="A258" i="3"/>
  <c r="H257" i="3"/>
  <c r="G257" i="3"/>
  <c r="F257" i="3"/>
  <c r="E257" i="3"/>
  <c r="D257" i="3"/>
  <c r="C257" i="3"/>
  <c r="B257" i="3"/>
  <c r="A257" i="3"/>
  <c r="H256" i="3"/>
  <c r="G256" i="3"/>
  <c r="F256" i="3"/>
  <c r="E256" i="3"/>
  <c r="D256" i="3"/>
  <c r="C256" i="3"/>
  <c r="B256" i="3"/>
  <c r="A256" i="3"/>
  <c r="H255" i="3"/>
  <c r="G255" i="3"/>
  <c r="F255" i="3"/>
  <c r="E255" i="3"/>
  <c r="D255" i="3"/>
  <c r="C255" i="3"/>
  <c r="B255" i="3"/>
  <c r="A255" i="3"/>
  <c r="H254" i="3"/>
  <c r="G254" i="3"/>
  <c r="F254" i="3"/>
  <c r="E254" i="3"/>
  <c r="D254" i="3"/>
  <c r="C254" i="3"/>
  <c r="B254" i="3"/>
  <c r="A254" i="3"/>
  <c r="H253" i="3"/>
  <c r="G253" i="3"/>
  <c r="F253" i="3"/>
  <c r="E253" i="3"/>
  <c r="D253" i="3"/>
  <c r="C253" i="3"/>
  <c r="B253" i="3"/>
  <c r="A253" i="3"/>
  <c r="H252" i="3"/>
  <c r="G252" i="3"/>
  <c r="F252" i="3"/>
  <c r="E252" i="3"/>
  <c r="D252" i="3"/>
  <c r="C252" i="3"/>
  <c r="B252" i="3"/>
  <c r="A252" i="3"/>
  <c r="H251" i="3"/>
  <c r="G251" i="3"/>
  <c r="F251" i="3"/>
  <c r="E251" i="3"/>
  <c r="D251" i="3"/>
  <c r="C251" i="3"/>
  <c r="B251" i="3"/>
  <c r="A251" i="3"/>
  <c r="H250" i="3"/>
  <c r="G250" i="3"/>
  <c r="F250" i="3"/>
  <c r="E250" i="3"/>
  <c r="D250" i="3"/>
  <c r="C250" i="3"/>
  <c r="B250" i="3"/>
  <c r="A250" i="3"/>
  <c r="H249" i="3"/>
  <c r="G249" i="3"/>
  <c r="F249" i="3"/>
  <c r="E249" i="3"/>
  <c r="D249" i="3"/>
  <c r="C249" i="3"/>
  <c r="B249" i="3"/>
  <c r="A249" i="3"/>
  <c r="H248" i="3"/>
  <c r="G248" i="3"/>
  <c r="F248" i="3"/>
  <c r="E248" i="3"/>
  <c r="D248" i="3"/>
  <c r="C248" i="3"/>
  <c r="B248" i="3"/>
  <c r="A248" i="3"/>
  <c r="H247" i="3"/>
  <c r="G247" i="3"/>
  <c r="F247" i="3"/>
  <c r="E247" i="3"/>
  <c r="D247" i="3"/>
  <c r="C247" i="3"/>
  <c r="B247" i="3"/>
  <c r="A247" i="3"/>
  <c r="H246" i="3"/>
  <c r="G246" i="3"/>
  <c r="F246" i="3"/>
  <c r="E246" i="3"/>
  <c r="D246" i="3"/>
  <c r="C246" i="3"/>
  <c r="B246" i="3"/>
  <c r="A246" i="3"/>
  <c r="H245" i="3"/>
  <c r="G245" i="3"/>
  <c r="F245" i="3"/>
  <c r="E245" i="3"/>
  <c r="D245" i="3"/>
  <c r="C245" i="3"/>
  <c r="B245" i="3"/>
  <c r="A245" i="3"/>
  <c r="H244" i="3"/>
  <c r="G244" i="3"/>
  <c r="F244" i="3"/>
  <c r="E244" i="3"/>
  <c r="D244" i="3"/>
  <c r="C244" i="3"/>
  <c r="B244" i="3"/>
  <c r="A244" i="3"/>
  <c r="H243" i="3"/>
  <c r="G243" i="3"/>
  <c r="F243" i="3"/>
  <c r="E243" i="3"/>
  <c r="D243" i="3"/>
  <c r="C243" i="3"/>
  <c r="B243" i="3"/>
  <c r="A243" i="3"/>
  <c r="H242" i="3"/>
  <c r="G242" i="3"/>
  <c r="F242" i="3"/>
  <c r="E242" i="3"/>
  <c r="D242" i="3"/>
  <c r="C242" i="3"/>
  <c r="B242" i="3"/>
  <c r="A242" i="3"/>
  <c r="H241" i="3"/>
  <c r="G241" i="3"/>
  <c r="F241" i="3"/>
  <c r="E241" i="3"/>
  <c r="D241" i="3"/>
  <c r="C241" i="3"/>
  <c r="B241" i="3"/>
  <c r="A241" i="3"/>
  <c r="H240" i="3"/>
  <c r="G240" i="3"/>
  <c r="F240" i="3"/>
  <c r="E240" i="3"/>
  <c r="D240" i="3"/>
  <c r="C240" i="3"/>
  <c r="B240" i="3"/>
  <c r="A240" i="3"/>
  <c r="H239" i="3"/>
  <c r="G239" i="3"/>
  <c r="F239" i="3"/>
  <c r="E239" i="3"/>
  <c r="D239" i="3"/>
  <c r="C239" i="3"/>
  <c r="B239" i="3"/>
  <c r="A239" i="3"/>
  <c r="H238" i="3"/>
  <c r="G238" i="3"/>
  <c r="F238" i="3"/>
  <c r="E238" i="3"/>
  <c r="D238" i="3"/>
  <c r="C238" i="3"/>
  <c r="B238" i="3"/>
  <c r="A238" i="3"/>
  <c r="H237" i="3"/>
  <c r="G237" i="3"/>
  <c r="F237" i="3"/>
  <c r="E237" i="3"/>
  <c r="D237" i="3"/>
  <c r="C237" i="3"/>
  <c r="B237" i="3"/>
  <c r="A237" i="3"/>
  <c r="H236" i="3"/>
  <c r="G236" i="3"/>
  <c r="F236" i="3"/>
  <c r="E236" i="3"/>
  <c r="D236" i="3"/>
  <c r="C236" i="3"/>
  <c r="B236" i="3"/>
  <c r="A236" i="3"/>
  <c r="H235" i="3"/>
  <c r="G235" i="3"/>
  <c r="F235" i="3"/>
  <c r="E235" i="3"/>
  <c r="D235" i="3"/>
  <c r="C235" i="3"/>
  <c r="B235" i="3"/>
  <c r="A235" i="3"/>
  <c r="H234" i="3"/>
  <c r="G234" i="3"/>
  <c r="F234" i="3"/>
  <c r="E234" i="3"/>
  <c r="D234" i="3"/>
  <c r="C234" i="3"/>
  <c r="B234" i="3"/>
  <c r="A234" i="3"/>
  <c r="H233" i="3"/>
  <c r="G233" i="3"/>
  <c r="F233" i="3"/>
  <c r="E233" i="3"/>
  <c r="D233" i="3"/>
  <c r="C233" i="3"/>
  <c r="B233" i="3"/>
  <c r="A233" i="3"/>
  <c r="H232" i="3"/>
  <c r="G232" i="3"/>
  <c r="F232" i="3"/>
  <c r="E232" i="3"/>
  <c r="D232" i="3"/>
  <c r="C232" i="3"/>
  <c r="B232" i="3"/>
  <c r="A232" i="3"/>
  <c r="H231" i="3"/>
  <c r="G231" i="3"/>
  <c r="F231" i="3"/>
  <c r="E231" i="3"/>
  <c r="D231" i="3"/>
  <c r="C231" i="3"/>
  <c r="B231" i="3"/>
  <c r="A231" i="3"/>
  <c r="H230" i="3"/>
  <c r="G230" i="3"/>
  <c r="F230" i="3"/>
  <c r="E230" i="3"/>
  <c r="D230" i="3"/>
  <c r="C230" i="3"/>
  <c r="B230" i="3"/>
  <c r="A230" i="3"/>
  <c r="H229" i="3"/>
  <c r="G229" i="3"/>
  <c r="F229" i="3"/>
  <c r="E229" i="3"/>
  <c r="D229" i="3"/>
  <c r="C229" i="3"/>
  <c r="B229" i="3"/>
  <c r="A229" i="3"/>
  <c r="H228" i="3"/>
  <c r="G228" i="3"/>
  <c r="F228" i="3"/>
  <c r="E228" i="3"/>
  <c r="D228" i="3"/>
  <c r="C228" i="3"/>
  <c r="B228" i="3"/>
  <c r="A228" i="3"/>
  <c r="H227" i="3"/>
  <c r="G227" i="3"/>
  <c r="F227" i="3"/>
  <c r="E227" i="3"/>
  <c r="D227" i="3"/>
  <c r="C227" i="3"/>
  <c r="B227" i="3"/>
  <c r="A227" i="3"/>
  <c r="H226" i="3"/>
  <c r="G226" i="3"/>
  <c r="F226" i="3"/>
  <c r="E226" i="3"/>
  <c r="D226" i="3"/>
  <c r="C226" i="3"/>
  <c r="B226" i="3"/>
  <c r="A226" i="3"/>
  <c r="H225" i="3"/>
  <c r="G225" i="3"/>
  <c r="F225" i="3"/>
  <c r="E225" i="3"/>
  <c r="D225" i="3"/>
  <c r="C225" i="3"/>
  <c r="B225" i="3"/>
  <c r="A225" i="3"/>
  <c r="H224" i="3"/>
  <c r="G224" i="3"/>
  <c r="F224" i="3"/>
  <c r="E224" i="3"/>
  <c r="D224" i="3"/>
  <c r="C224" i="3"/>
  <c r="B224" i="3"/>
  <c r="A224" i="3"/>
  <c r="H223" i="3"/>
  <c r="G223" i="3"/>
  <c r="F223" i="3"/>
  <c r="E223" i="3"/>
  <c r="D223" i="3"/>
  <c r="C223" i="3"/>
  <c r="B223" i="3"/>
  <c r="A223" i="3"/>
  <c r="H222" i="3"/>
  <c r="G222" i="3"/>
  <c r="F222" i="3"/>
  <c r="E222" i="3"/>
  <c r="D222" i="3"/>
  <c r="C222" i="3"/>
  <c r="B222" i="3"/>
  <c r="A222" i="3"/>
  <c r="H221" i="3"/>
  <c r="G221" i="3"/>
  <c r="F221" i="3"/>
  <c r="E221" i="3"/>
  <c r="D221" i="3"/>
  <c r="C221" i="3"/>
  <c r="B221" i="3"/>
  <c r="A221" i="3"/>
  <c r="H220" i="3"/>
  <c r="G220" i="3"/>
  <c r="F220" i="3"/>
  <c r="E220" i="3"/>
  <c r="D220" i="3"/>
  <c r="C220" i="3"/>
  <c r="B220" i="3"/>
  <c r="A220" i="3"/>
  <c r="H219" i="3"/>
  <c r="G219" i="3"/>
  <c r="F219" i="3"/>
  <c r="E219" i="3"/>
  <c r="D219" i="3"/>
  <c r="C219" i="3"/>
  <c r="B219" i="3"/>
  <c r="A219" i="3"/>
  <c r="H218" i="3"/>
  <c r="G218" i="3"/>
  <c r="F218" i="3"/>
  <c r="E218" i="3"/>
  <c r="D218" i="3"/>
  <c r="C218" i="3"/>
  <c r="B218" i="3"/>
  <c r="A218" i="3"/>
  <c r="H217" i="3"/>
  <c r="G217" i="3"/>
  <c r="F217" i="3"/>
  <c r="E217" i="3"/>
  <c r="D217" i="3"/>
  <c r="C217" i="3"/>
  <c r="B217" i="3"/>
  <c r="A217" i="3"/>
  <c r="H216" i="3"/>
  <c r="G216" i="3"/>
  <c r="F216" i="3"/>
  <c r="E216" i="3"/>
  <c r="D216" i="3"/>
  <c r="C216" i="3"/>
  <c r="B216" i="3"/>
  <c r="A216" i="3"/>
  <c r="H215" i="3"/>
  <c r="G215" i="3"/>
  <c r="F215" i="3"/>
  <c r="E215" i="3"/>
  <c r="D215" i="3"/>
  <c r="C215" i="3"/>
  <c r="B215" i="3"/>
  <c r="A215" i="3"/>
  <c r="H214" i="3"/>
  <c r="G214" i="3"/>
  <c r="F214" i="3"/>
  <c r="E214" i="3"/>
  <c r="D214" i="3"/>
  <c r="C214" i="3"/>
  <c r="B214" i="3"/>
  <c r="A214" i="3"/>
  <c r="H213" i="3"/>
  <c r="G213" i="3"/>
  <c r="F213" i="3"/>
  <c r="E213" i="3"/>
  <c r="D213" i="3"/>
  <c r="C213" i="3"/>
  <c r="B213" i="3"/>
  <c r="A213" i="3"/>
  <c r="H212" i="3"/>
  <c r="G212" i="3"/>
  <c r="F212" i="3"/>
  <c r="E212" i="3"/>
  <c r="D212" i="3"/>
  <c r="C212" i="3"/>
  <c r="B212" i="3"/>
  <c r="A212" i="3"/>
  <c r="H211" i="3"/>
  <c r="G211" i="3"/>
  <c r="F211" i="3"/>
  <c r="E211" i="3"/>
  <c r="D211" i="3"/>
  <c r="C211" i="3"/>
  <c r="B211" i="3"/>
  <c r="A211" i="3"/>
  <c r="H210" i="3"/>
  <c r="G210" i="3"/>
  <c r="F210" i="3"/>
  <c r="E210" i="3"/>
  <c r="D210" i="3"/>
  <c r="C210" i="3"/>
  <c r="B210" i="3"/>
  <c r="A210" i="3"/>
  <c r="H209" i="3"/>
  <c r="G209" i="3"/>
  <c r="F209" i="3"/>
  <c r="E209" i="3"/>
  <c r="D209" i="3"/>
  <c r="C209" i="3"/>
  <c r="B209" i="3"/>
  <c r="A209" i="3"/>
  <c r="H208" i="3"/>
  <c r="G208" i="3"/>
  <c r="F208" i="3"/>
  <c r="E208" i="3"/>
  <c r="D208" i="3"/>
  <c r="C208" i="3"/>
  <c r="B208" i="3"/>
  <c r="A208" i="3"/>
  <c r="H207" i="3"/>
  <c r="G207" i="3"/>
  <c r="F207" i="3"/>
  <c r="E207" i="3"/>
  <c r="D207" i="3"/>
  <c r="C207" i="3"/>
  <c r="B207" i="3"/>
  <c r="A207" i="3"/>
  <c r="H206" i="3"/>
  <c r="G206" i="3"/>
  <c r="F206" i="3"/>
  <c r="E206" i="3"/>
  <c r="D206" i="3"/>
  <c r="C206" i="3"/>
  <c r="B206" i="3"/>
  <c r="A206" i="3"/>
  <c r="H205" i="3"/>
  <c r="G205" i="3"/>
  <c r="F205" i="3"/>
  <c r="E205" i="3"/>
  <c r="D205" i="3"/>
  <c r="C205" i="3"/>
  <c r="B205" i="3"/>
  <c r="A205" i="3"/>
  <c r="H204" i="3"/>
  <c r="G204" i="3"/>
  <c r="F204" i="3"/>
  <c r="E204" i="3"/>
  <c r="D204" i="3"/>
  <c r="C204" i="3"/>
  <c r="B204" i="3"/>
  <c r="A204" i="3"/>
  <c r="H203" i="3"/>
  <c r="G203" i="3"/>
  <c r="F203" i="3"/>
  <c r="E203" i="3"/>
  <c r="D203" i="3"/>
  <c r="C203" i="3"/>
  <c r="B203" i="3"/>
  <c r="A203" i="3"/>
  <c r="H202" i="3"/>
  <c r="G202" i="3"/>
  <c r="F202" i="3"/>
  <c r="E202" i="3"/>
  <c r="D202" i="3"/>
  <c r="C202" i="3"/>
  <c r="B202" i="3"/>
  <c r="A202" i="3"/>
  <c r="H201" i="3"/>
  <c r="G201" i="3"/>
  <c r="F201" i="3"/>
  <c r="E201" i="3"/>
  <c r="D201" i="3"/>
  <c r="C201" i="3"/>
  <c r="B201" i="3"/>
  <c r="A201" i="3"/>
  <c r="H200" i="3"/>
  <c r="G200" i="3"/>
  <c r="F200" i="3"/>
  <c r="E200" i="3"/>
  <c r="D200" i="3"/>
  <c r="C200" i="3"/>
  <c r="B200" i="3"/>
  <c r="A200" i="3"/>
  <c r="H199" i="3"/>
  <c r="G199" i="3"/>
  <c r="F199" i="3"/>
  <c r="E199" i="3"/>
  <c r="D199" i="3"/>
  <c r="C199" i="3"/>
  <c r="B199" i="3"/>
  <c r="A199" i="3"/>
  <c r="H198" i="3"/>
  <c r="G198" i="3"/>
  <c r="F198" i="3"/>
  <c r="E198" i="3"/>
  <c r="D198" i="3"/>
  <c r="C198" i="3"/>
  <c r="B198" i="3"/>
  <c r="A198" i="3"/>
  <c r="H197" i="3"/>
  <c r="G197" i="3"/>
  <c r="F197" i="3"/>
  <c r="E197" i="3"/>
  <c r="D197" i="3"/>
  <c r="C197" i="3"/>
  <c r="B197" i="3"/>
  <c r="A197" i="3"/>
  <c r="H196" i="3"/>
  <c r="G196" i="3"/>
  <c r="F196" i="3"/>
  <c r="E196" i="3"/>
  <c r="D196" i="3"/>
  <c r="C196" i="3"/>
  <c r="B196" i="3"/>
  <c r="A196" i="3"/>
  <c r="H195" i="3"/>
  <c r="G195" i="3"/>
  <c r="F195" i="3"/>
  <c r="E195" i="3"/>
  <c r="D195" i="3"/>
  <c r="C195" i="3"/>
  <c r="B195" i="3"/>
  <c r="A195" i="3"/>
  <c r="H194" i="3"/>
  <c r="G194" i="3"/>
  <c r="F194" i="3"/>
  <c r="E194" i="3"/>
  <c r="D194" i="3"/>
  <c r="C194" i="3"/>
  <c r="B194" i="3"/>
  <c r="A194" i="3"/>
  <c r="H193" i="3"/>
  <c r="G193" i="3"/>
  <c r="F193" i="3"/>
  <c r="E193" i="3"/>
  <c r="D193" i="3"/>
  <c r="C193" i="3"/>
  <c r="B193" i="3"/>
  <c r="A193" i="3"/>
  <c r="H192" i="3"/>
  <c r="G192" i="3"/>
  <c r="F192" i="3"/>
  <c r="E192" i="3"/>
  <c r="D192" i="3"/>
  <c r="C192" i="3"/>
  <c r="B192" i="3"/>
  <c r="A192" i="3"/>
  <c r="H191" i="3"/>
  <c r="G191" i="3"/>
  <c r="F191" i="3"/>
  <c r="E191" i="3"/>
  <c r="D191" i="3"/>
  <c r="C191" i="3"/>
  <c r="B191" i="3"/>
  <c r="A191" i="3"/>
  <c r="H190" i="3"/>
  <c r="G190" i="3"/>
  <c r="F190" i="3"/>
  <c r="E190" i="3"/>
  <c r="D190" i="3"/>
  <c r="C190" i="3"/>
  <c r="B190" i="3"/>
  <c r="A190" i="3"/>
  <c r="H189" i="3"/>
  <c r="G189" i="3"/>
  <c r="F189" i="3"/>
  <c r="E189" i="3"/>
  <c r="D189" i="3"/>
  <c r="C189" i="3"/>
  <c r="B189" i="3"/>
  <c r="A189" i="3"/>
  <c r="H188" i="3"/>
  <c r="G188" i="3"/>
  <c r="F188" i="3"/>
  <c r="E188" i="3"/>
  <c r="D188" i="3"/>
  <c r="C188" i="3"/>
  <c r="B188" i="3"/>
  <c r="A188" i="3"/>
  <c r="H187" i="3"/>
  <c r="G187" i="3"/>
  <c r="F187" i="3"/>
  <c r="E187" i="3"/>
  <c r="D187" i="3"/>
  <c r="C187" i="3"/>
  <c r="B187" i="3"/>
  <c r="A187" i="3"/>
  <c r="H186" i="3"/>
  <c r="G186" i="3"/>
  <c r="F186" i="3"/>
  <c r="E186" i="3"/>
  <c r="D186" i="3"/>
  <c r="C186" i="3"/>
  <c r="B186" i="3"/>
  <c r="A186" i="3"/>
  <c r="H185" i="3"/>
  <c r="G185" i="3"/>
  <c r="F185" i="3"/>
  <c r="E185" i="3"/>
  <c r="D185" i="3"/>
  <c r="C185" i="3"/>
  <c r="B185" i="3"/>
  <c r="A185" i="3"/>
  <c r="H184" i="3"/>
  <c r="G184" i="3"/>
  <c r="F184" i="3"/>
  <c r="E184" i="3"/>
  <c r="D184" i="3"/>
  <c r="C184" i="3"/>
  <c r="B184" i="3"/>
  <c r="A184" i="3"/>
  <c r="H183" i="3"/>
  <c r="G183" i="3"/>
  <c r="F183" i="3"/>
  <c r="E183" i="3"/>
  <c r="D183" i="3"/>
  <c r="C183" i="3"/>
  <c r="B183" i="3"/>
  <c r="A183" i="3"/>
  <c r="H182" i="3"/>
  <c r="G182" i="3"/>
  <c r="F182" i="3"/>
  <c r="E182" i="3"/>
  <c r="D182" i="3"/>
  <c r="C182" i="3"/>
  <c r="B182" i="3"/>
  <c r="A182" i="3"/>
  <c r="H181" i="3"/>
  <c r="G181" i="3"/>
  <c r="F181" i="3"/>
  <c r="E181" i="3"/>
  <c r="D181" i="3"/>
  <c r="C181" i="3"/>
  <c r="B181" i="3"/>
  <c r="A181" i="3"/>
  <c r="H180" i="3"/>
  <c r="G180" i="3"/>
  <c r="F180" i="3"/>
  <c r="E180" i="3"/>
  <c r="D180" i="3"/>
  <c r="C180" i="3"/>
  <c r="B180" i="3"/>
  <c r="A180" i="3"/>
  <c r="H179" i="3"/>
  <c r="G179" i="3"/>
  <c r="F179" i="3"/>
  <c r="E179" i="3"/>
  <c r="D179" i="3"/>
  <c r="C179" i="3"/>
  <c r="B179" i="3"/>
  <c r="A179" i="3"/>
  <c r="H178" i="3"/>
  <c r="G178" i="3"/>
  <c r="F178" i="3"/>
  <c r="E178" i="3"/>
  <c r="D178" i="3"/>
  <c r="C178" i="3"/>
  <c r="B178" i="3"/>
  <c r="A178" i="3"/>
  <c r="H177" i="3"/>
  <c r="G177" i="3"/>
  <c r="F177" i="3"/>
  <c r="E177" i="3"/>
  <c r="D177" i="3"/>
  <c r="C177" i="3"/>
  <c r="B177" i="3"/>
  <c r="A177" i="3"/>
  <c r="H176" i="3"/>
  <c r="G176" i="3"/>
  <c r="F176" i="3"/>
  <c r="E176" i="3"/>
  <c r="D176" i="3"/>
  <c r="C176" i="3"/>
  <c r="B176" i="3"/>
  <c r="A176" i="3"/>
  <c r="H175" i="3"/>
  <c r="G175" i="3"/>
  <c r="F175" i="3"/>
  <c r="E175" i="3"/>
  <c r="D175" i="3"/>
  <c r="C175" i="3"/>
  <c r="B175" i="3"/>
  <c r="A175" i="3"/>
  <c r="H174" i="3"/>
  <c r="G174" i="3"/>
  <c r="F174" i="3"/>
  <c r="E174" i="3"/>
  <c r="D174" i="3"/>
  <c r="C174" i="3"/>
  <c r="B174" i="3"/>
  <c r="A174" i="3"/>
  <c r="H173" i="3"/>
  <c r="G173" i="3"/>
  <c r="F173" i="3"/>
  <c r="E173" i="3"/>
  <c r="D173" i="3"/>
  <c r="C173" i="3"/>
  <c r="B173" i="3"/>
  <c r="A173" i="3"/>
  <c r="H172" i="3"/>
  <c r="G172" i="3"/>
  <c r="F172" i="3"/>
  <c r="E172" i="3"/>
  <c r="D172" i="3"/>
  <c r="C172" i="3"/>
  <c r="B172" i="3"/>
  <c r="A172" i="3"/>
  <c r="H171" i="3"/>
  <c r="G171" i="3"/>
  <c r="F171" i="3"/>
  <c r="E171" i="3"/>
  <c r="D171" i="3"/>
  <c r="C171" i="3"/>
  <c r="B171" i="3"/>
  <c r="A171" i="3"/>
  <c r="H170" i="3"/>
  <c r="G170" i="3"/>
  <c r="F170" i="3"/>
  <c r="E170" i="3"/>
  <c r="D170" i="3"/>
  <c r="C170" i="3"/>
  <c r="B170" i="3"/>
  <c r="A170" i="3"/>
  <c r="H169" i="3"/>
  <c r="G169" i="3"/>
  <c r="F169" i="3"/>
  <c r="E169" i="3"/>
  <c r="D169" i="3"/>
  <c r="C169" i="3"/>
  <c r="B169" i="3"/>
  <c r="A169" i="3"/>
  <c r="H168" i="3"/>
  <c r="G168" i="3"/>
  <c r="F168" i="3"/>
  <c r="E168" i="3"/>
  <c r="D168" i="3"/>
  <c r="C168" i="3"/>
  <c r="B168" i="3"/>
  <c r="A168" i="3"/>
  <c r="H167" i="3"/>
  <c r="G167" i="3"/>
  <c r="F167" i="3"/>
  <c r="E167" i="3"/>
  <c r="D167" i="3"/>
  <c r="C167" i="3"/>
  <c r="B167" i="3"/>
  <c r="A167" i="3"/>
  <c r="H166" i="3"/>
  <c r="G166" i="3"/>
  <c r="F166" i="3"/>
  <c r="E166" i="3"/>
  <c r="D166" i="3"/>
  <c r="C166" i="3"/>
  <c r="B166" i="3"/>
  <c r="A166" i="3"/>
  <c r="H165" i="3"/>
  <c r="G165" i="3"/>
  <c r="F165" i="3"/>
  <c r="E165" i="3"/>
  <c r="D165" i="3"/>
  <c r="C165" i="3"/>
  <c r="B165" i="3"/>
  <c r="A165" i="3"/>
  <c r="H164" i="3"/>
  <c r="G164" i="3"/>
  <c r="F164" i="3"/>
  <c r="E164" i="3"/>
  <c r="D164" i="3"/>
  <c r="C164" i="3"/>
  <c r="B164" i="3"/>
  <c r="A164" i="3"/>
  <c r="H163" i="3"/>
  <c r="G163" i="3"/>
  <c r="F163" i="3"/>
  <c r="E163" i="3"/>
  <c r="D163" i="3"/>
  <c r="C163" i="3"/>
  <c r="B163" i="3"/>
  <c r="A163" i="3"/>
  <c r="H162" i="3"/>
  <c r="G162" i="3"/>
  <c r="F162" i="3"/>
  <c r="E162" i="3"/>
  <c r="D162" i="3"/>
  <c r="C162" i="3"/>
  <c r="B162" i="3"/>
  <c r="A162" i="3"/>
  <c r="H161" i="3"/>
  <c r="G161" i="3"/>
  <c r="F161" i="3"/>
  <c r="E161" i="3"/>
  <c r="D161" i="3"/>
  <c r="C161" i="3"/>
  <c r="B161" i="3"/>
  <c r="A161" i="3"/>
  <c r="H160" i="3"/>
  <c r="G160" i="3"/>
  <c r="F160" i="3"/>
  <c r="E160" i="3"/>
  <c r="D160" i="3"/>
  <c r="C160" i="3"/>
  <c r="B160" i="3"/>
  <c r="A160" i="3"/>
  <c r="H159" i="3"/>
  <c r="G159" i="3"/>
  <c r="F159" i="3"/>
  <c r="E159" i="3"/>
  <c r="D159" i="3"/>
  <c r="C159" i="3"/>
  <c r="B159" i="3"/>
  <c r="A159" i="3"/>
  <c r="H158" i="3"/>
  <c r="G158" i="3"/>
  <c r="F158" i="3"/>
  <c r="E158" i="3"/>
  <c r="D158" i="3"/>
  <c r="C158" i="3"/>
  <c r="B158" i="3"/>
  <c r="A158" i="3"/>
  <c r="H157" i="3"/>
  <c r="G157" i="3"/>
  <c r="F157" i="3"/>
  <c r="E157" i="3"/>
  <c r="D157" i="3"/>
  <c r="C157" i="3"/>
  <c r="B157" i="3"/>
  <c r="A157" i="3"/>
  <c r="H156" i="3"/>
  <c r="G156" i="3"/>
  <c r="F156" i="3"/>
  <c r="E156" i="3"/>
  <c r="D156" i="3"/>
  <c r="C156" i="3"/>
  <c r="B156" i="3"/>
  <c r="A156" i="3"/>
  <c r="H155" i="3"/>
  <c r="G155" i="3"/>
  <c r="F155" i="3"/>
  <c r="E155" i="3"/>
  <c r="D155" i="3"/>
  <c r="C155" i="3"/>
  <c r="B155" i="3"/>
  <c r="A155" i="3"/>
  <c r="H154" i="3"/>
  <c r="G154" i="3"/>
  <c r="F154" i="3"/>
  <c r="E154" i="3"/>
  <c r="D154" i="3"/>
  <c r="C154" i="3"/>
  <c r="B154" i="3"/>
  <c r="A154" i="3"/>
  <c r="H153" i="3"/>
  <c r="G153" i="3"/>
  <c r="F153" i="3"/>
  <c r="E153" i="3"/>
  <c r="D153" i="3"/>
  <c r="C153" i="3"/>
  <c r="B153" i="3"/>
  <c r="A153" i="3"/>
  <c r="H152" i="3"/>
  <c r="G152" i="3"/>
  <c r="F152" i="3"/>
  <c r="E152" i="3"/>
  <c r="D152" i="3"/>
  <c r="C152" i="3"/>
  <c r="B152" i="3"/>
  <c r="A152" i="3"/>
  <c r="H151" i="3"/>
  <c r="G151" i="3"/>
  <c r="F151" i="3"/>
  <c r="E151" i="3"/>
  <c r="D151" i="3"/>
  <c r="C151" i="3"/>
  <c r="B151" i="3"/>
  <c r="A151" i="3"/>
  <c r="H150" i="3"/>
  <c r="G150" i="3"/>
  <c r="F150" i="3"/>
  <c r="E150" i="3"/>
  <c r="D150" i="3"/>
  <c r="C150" i="3"/>
  <c r="B150" i="3"/>
  <c r="A150" i="3"/>
  <c r="H149" i="3"/>
  <c r="G149" i="3"/>
  <c r="F149" i="3"/>
  <c r="E149" i="3"/>
  <c r="D149" i="3"/>
  <c r="C149" i="3"/>
  <c r="B149" i="3"/>
  <c r="A149" i="3"/>
  <c r="H148" i="3"/>
  <c r="G148" i="3"/>
  <c r="F148" i="3"/>
  <c r="E148" i="3"/>
  <c r="D148" i="3"/>
  <c r="C148" i="3"/>
  <c r="B148" i="3"/>
  <c r="A148" i="3"/>
  <c r="H147" i="3"/>
  <c r="G147" i="3"/>
  <c r="F147" i="3"/>
  <c r="E147" i="3"/>
  <c r="D147" i="3"/>
  <c r="C147" i="3"/>
  <c r="B147" i="3"/>
  <c r="A147" i="3"/>
  <c r="H146" i="3"/>
  <c r="G146" i="3"/>
  <c r="F146" i="3"/>
  <c r="E146" i="3"/>
  <c r="D146" i="3"/>
  <c r="C146" i="3"/>
  <c r="B146" i="3"/>
  <c r="A146" i="3"/>
  <c r="H145" i="3"/>
  <c r="G145" i="3"/>
  <c r="F145" i="3"/>
  <c r="E145" i="3"/>
  <c r="D145" i="3"/>
  <c r="C145" i="3"/>
  <c r="B145" i="3"/>
  <c r="A145" i="3"/>
  <c r="H144" i="3"/>
  <c r="G144" i="3"/>
  <c r="F144" i="3"/>
  <c r="E144" i="3"/>
  <c r="D144" i="3"/>
  <c r="C144" i="3"/>
  <c r="B144" i="3"/>
  <c r="A144" i="3"/>
  <c r="H143" i="3"/>
  <c r="G143" i="3"/>
  <c r="F143" i="3"/>
  <c r="E143" i="3"/>
  <c r="D143" i="3"/>
  <c r="C143" i="3"/>
  <c r="B143" i="3"/>
  <c r="A143" i="3"/>
  <c r="H142" i="3"/>
  <c r="G142" i="3"/>
  <c r="F142" i="3"/>
  <c r="E142" i="3"/>
  <c r="D142" i="3"/>
  <c r="C142" i="3"/>
  <c r="B142" i="3"/>
  <c r="A142" i="3"/>
  <c r="H141" i="3"/>
  <c r="G141" i="3"/>
  <c r="F141" i="3"/>
  <c r="E141" i="3"/>
  <c r="D141" i="3"/>
  <c r="C141" i="3"/>
  <c r="B141" i="3"/>
  <c r="A141" i="3"/>
  <c r="H140" i="3"/>
  <c r="G140" i="3"/>
  <c r="F140" i="3"/>
  <c r="E140" i="3"/>
  <c r="D140" i="3"/>
  <c r="C140" i="3"/>
  <c r="B140" i="3"/>
  <c r="A140" i="3"/>
  <c r="H139" i="3"/>
  <c r="G139" i="3"/>
  <c r="F139" i="3"/>
  <c r="E139" i="3"/>
  <c r="D139" i="3"/>
  <c r="C139" i="3"/>
  <c r="B139" i="3"/>
  <c r="A139" i="3"/>
  <c r="H138" i="3"/>
  <c r="G138" i="3"/>
  <c r="F138" i="3"/>
  <c r="E138" i="3"/>
  <c r="D138" i="3"/>
  <c r="C138" i="3"/>
  <c r="B138" i="3"/>
  <c r="A138" i="3"/>
  <c r="H137" i="3"/>
  <c r="G137" i="3"/>
  <c r="F137" i="3"/>
  <c r="E137" i="3"/>
  <c r="D137" i="3"/>
  <c r="C137" i="3"/>
  <c r="B137" i="3"/>
  <c r="A137" i="3"/>
  <c r="H136" i="3"/>
  <c r="G136" i="3"/>
  <c r="F136" i="3"/>
  <c r="E136" i="3"/>
  <c r="D136" i="3"/>
  <c r="C136" i="3"/>
  <c r="B136" i="3"/>
  <c r="A136" i="3"/>
  <c r="H135" i="3"/>
  <c r="G135" i="3"/>
  <c r="F135" i="3"/>
  <c r="E135" i="3"/>
  <c r="D135" i="3"/>
  <c r="C135" i="3"/>
  <c r="B135" i="3"/>
  <c r="A135" i="3"/>
  <c r="H134" i="3"/>
  <c r="G134" i="3"/>
  <c r="F134" i="3"/>
  <c r="E134" i="3"/>
  <c r="D134" i="3"/>
  <c r="C134" i="3"/>
  <c r="B134" i="3"/>
  <c r="A134" i="3"/>
  <c r="H133" i="3"/>
  <c r="G133" i="3"/>
  <c r="F133" i="3"/>
  <c r="E133" i="3"/>
  <c r="D133" i="3"/>
  <c r="C133" i="3"/>
  <c r="B133" i="3"/>
  <c r="A133" i="3"/>
  <c r="H132" i="3"/>
  <c r="G132" i="3"/>
  <c r="F132" i="3"/>
  <c r="E132" i="3"/>
  <c r="D132" i="3"/>
  <c r="C132" i="3"/>
  <c r="B132" i="3"/>
  <c r="A132" i="3"/>
  <c r="H131" i="3"/>
  <c r="G131" i="3"/>
  <c r="F131" i="3"/>
  <c r="E131" i="3"/>
  <c r="D131" i="3"/>
  <c r="C131" i="3"/>
  <c r="B131" i="3"/>
  <c r="A131" i="3"/>
  <c r="H130" i="3"/>
  <c r="G130" i="3"/>
  <c r="F130" i="3"/>
  <c r="E130" i="3"/>
  <c r="D130" i="3"/>
  <c r="C130" i="3"/>
  <c r="B130" i="3"/>
  <c r="A130" i="3"/>
  <c r="H129" i="3"/>
  <c r="G129" i="3"/>
  <c r="F129" i="3"/>
  <c r="E129" i="3"/>
  <c r="D129" i="3"/>
  <c r="C129" i="3"/>
  <c r="B129" i="3"/>
  <c r="A129" i="3"/>
  <c r="H128" i="3"/>
  <c r="G128" i="3"/>
  <c r="F128" i="3"/>
  <c r="E128" i="3"/>
  <c r="D128" i="3"/>
  <c r="C128" i="3"/>
  <c r="B128" i="3"/>
  <c r="A128" i="3"/>
  <c r="H127" i="3"/>
  <c r="G127" i="3"/>
  <c r="F127" i="3"/>
  <c r="E127" i="3"/>
  <c r="D127" i="3"/>
  <c r="C127" i="3"/>
  <c r="B127" i="3"/>
  <c r="A127" i="3"/>
  <c r="H126" i="3"/>
  <c r="G126" i="3"/>
  <c r="F126" i="3"/>
  <c r="E126" i="3"/>
  <c r="D126" i="3"/>
  <c r="C126" i="3"/>
  <c r="B126" i="3"/>
  <c r="A126" i="3"/>
  <c r="H125" i="3"/>
  <c r="G125" i="3"/>
  <c r="F125" i="3"/>
  <c r="E125" i="3"/>
  <c r="D125" i="3"/>
  <c r="C125" i="3"/>
  <c r="B125" i="3"/>
  <c r="A125" i="3"/>
  <c r="H124" i="3"/>
  <c r="G124" i="3"/>
  <c r="F124" i="3"/>
  <c r="E124" i="3"/>
  <c r="D124" i="3"/>
  <c r="C124" i="3"/>
  <c r="B124" i="3"/>
  <c r="A124" i="3"/>
  <c r="H123" i="3"/>
  <c r="G123" i="3"/>
  <c r="F123" i="3"/>
  <c r="E123" i="3"/>
  <c r="D123" i="3"/>
  <c r="C123" i="3"/>
  <c r="B123" i="3"/>
  <c r="A123" i="3"/>
  <c r="H122" i="3"/>
  <c r="G122" i="3"/>
  <c r="F122" i="3"/>
  <c r="E122" i="3"/>
  <c r="D122" i="3"/>
  <c r="C122" i="3"/>
  <c r="B122" i="3"/>
  <c r="A122" i="3"/>
  <c r="H121" i="3"/>
  <c r="G121" i="3"/>
  <c r="F121" i="3"/>
  <c r="E121" i="3"/>
  <c r="D121" i="3"/>
  <c r="C121" i="3"/>
  <c r="B121" i="3"/>
  <c r="A121" i="3"/>
  <c r="H120" i="3"/>
  <c r="G120" i="3"/>
  <c r="F120" i="3"/>
  <c r="E120" i="3"/>
  <c r="D120" i="3"/>
  <c r="C120" i="3"/>
  <c r="B120" i="3"/>
  <c r="A120" i="3"/>
  <c r="H119" i="3"/>
  <c r="G119" i="3"/>
  <c r="F119" i="3"/>
  <c r="E119" i="3"/>
  <c r="D119" i="3"/>
  <c r="C119" i="3"/>
  <c r="B119" i="3"/>
  <c r="A119" i="3"/>
  <c r="H118" i="3"/>
  <c r="G118" i="3"/>
  <c r="F118" i="3"/>
  <c r="E118" i="3"/>
  <c r="D118" i="3"/>
  <c r="C118" i="3"/>
  <c r="B118" i="3"/>
  <c r="A118" i="3"/>
  <c r="H117" i="3"/>
  <c r="G117" i="3"/>
  <c r="F117" i="3"/>
  <c r="E117" i="3"/>
  <c r="D117" i="3"/>
  <c r="C117" i="3"/>
  <c r="B117" i="3"/>
  <c r="A117" i="3"/>
  <c r="H116" i="3"/>
  <c r="G116" i="3"/>
  <c r="F116" i="3"/>
  <c r="E116" i="3"/>
  <c r="D116" i="3"/>
  <c r="C116" i="3"/>
  <c r="B116" i="3"/>
  <c r="A116" i="3"/>
  <c r="H115" i="3"/>
  <c r="G115" i="3"/>
  <c r="F115" i="3"/>
  <c r="E115" i="3"/>
  <c r="D115" i="3"/>
  <c r="C115" i="3"/>
  <c r="B115" i="3"/>
  <c r="A115" i="3"/>
  <c r="H114" i="3"/>
  <c r="G114" i="3"/>
  <c r="F114" i="3"/>
  <c r="E114" i="3"/>
  <c r="D114" i="3"/>
  <c r="C114" i="3"/>
  <c r="B114" i="3"/>
  <c r="A114" i="3"/>
  <c r="H113" i="3"/>
  <c r="G113" i="3"/>
  <c r="F113" i="3"/>
  <c r="E113" i="3"/>
  <c r="D113" i="3"/>
  <c r="C113" i="3"/>
  <c r="B113" i="3"/>
  <c r="A113" i="3"/>
  <c r="H112" i="3"/>
  <c r="G112" i="3"/>
  <c r="F112" i="3"/>
  <c r="E112" i="3"/>
  <c r="D112" i="3"/>
  <c r="C112" i="3"/>
  <c r="B112" i="3"/>
  <c r="A112" i="3"/>
  <c r="H111" i="3"/>
  <c r="G111" i="3"/>
  <c r="F111" i="3"/>
  <c r="E111" i="3"/>
  <c r="D111" i="3"/>
  <c r="C111" i="3"/>
  <c r="B111" i="3"/>
  <c r="A111" i="3"/>
  <c r="H110" i="3"/>
  <c r="G110" i="3"/>
  <c r="F110" i="3"/>
  <c r="E110" i="3"/>
  <c r="D110" i="3"/>
  <c r="C110" i="3"/>
  <c r="B110" i="3"/>
  <c r="A110" i="3"/>
  <c r="H109" i="3"/>
  <c r="G109" i="3"/>
  <c r="F109" i="3"/>
  <c r="E109" i="3"/>
  <c r="D109" i="3"/>
  <c r="C109" i="3"/>
  <c r="B109" i="3"/>
  <c r="A109" i="3"/>
  <c r="H108" i="3"/>
  <c r="G108" i="3"/>
  <c r="F108" i="3"/>
  <c r="E108" i="3"/>
  <c r="D108" i="3"/>
  <c r="C108" i="3"/>
  <c r="B108" i="3"/>
  <c r="A108" i="3"/>
  <c r="H107" i="3"/>
  <c r="G107" i="3"/>
  <c r="F107" i="3"/>
  <c r="E107" i="3"/>
  <c r="D107" i="3"/>
  <c r="C107" i="3"/>
  <c r="B107" i="3"/>
  <c r="A107" i="3"/>
  <c r="H106" i="3"/>
  <c r="G106" i="3"/>
  <c r="F106" i="3"/>
  <c r="E106" i="3"/>
  <c r="D106" i="3"/>
  <c r="C106" i="3"/>
  <c r="B106" i="3"/>
  <c r="A106" i="3"/>
  <c r="H105" i="3"/>
  <c r="G105" i="3"/>
  <c r="F105" i="3"/>
  <c r="E105" i="3"/>
  <c r="D105" i="3"/>
  <c r="C105" i="3"/>
  <c r="B105" i="3"/>
  <c r="A105" i="3"/>
  <c r="H104" i="3"/>
  <c r="G104" i="3"/>
  <c r="F104" i="3"/>
  <c r="E104" i="3"/>
  <c r="D104" i="3"/>
  <c r="C104" i="3"/>
  <c r="B104" i="3"/>
  <c r="A104" i="3"/>
  <c r="H103" i="3"/>
  <c r="G103" i="3"/>
  <c r="F103" i="3"/>
  <c r="E103" i="3"/>
  <c r="D103" i="3"/>
  <c r="C103" i="3"/>
  <c r="B103" i="3"/>
  <c r="A103" i="3"/>
  <c r="H102" i="3"/>
  <c r="G102" i="3"/>
  <c r="F102" i="3"/>
  <c r="E102" i="3"/>
  <c r="D102" i="3"/>
  <c r="C102" i="3"/>
  <c r="B102" i="3"/>
  <c r="A102" i="3"/>
  <c r="H101" i="3"/>
  <c r="G101" i="3"/>
  <c r="F101" i="3"/>
  <c r="E101" i="3"/>
  <c r="D101" i="3"/>
  <c r="C101" i="3"/>
  <c r="B101" i="3"/>
  <c r="A101" i="3"/>
  <c r="H100" i="3"/>
  <c r="G100" i="3"/>
  <c r="F100" i="3"/>
  <c r="E100" i="3"/>
  <c r="D100" i="3"/>
  <c r="C100" i="3"/>
  <c r="B100" i="3"/>
  <c r="A100" i="3"/>
  <c r="H99" i="3"/>
  <c r="G99" i="3"/>
  <c r="F99" i="3"/>
  <c r="E99" i="3"/>
  <c r="D99" i="3"/>
  <c r="C99" i="3"/>
  <c r="B99" i="3"/>
  <c r="A99" i="3"/>
  <c r="H98" i="3"/>
  <c r="G98" i="3"/>
  <c r="F98" i="3"/>
  <c r="E98" i="3"/>
  <c r="D98" i="3"/>
  <c r="C98" i="3"/>
  <c r="B98" i="3"/>
  <c r="A98" i="3"/>
  <c r="H97" i="3"/>
  <c r="G97" i="3"/>
  <c r="F97" i="3"/>
  <c r="E97" i="3"/>
  <c r="D97" i="3"/>
  <c r="C97" i="3"/>
  <c r="B97" i="3"/>
  <c r="A97" i="3"/>
  <c r="H96" i="3"/>
  <c r="G96" i="3"/>
  <c r="F96" i="3"/>
  <c r="E96" i="3"/>
  <c r="D96" i="3"/>
  <c r="C96" i="3"/>
  <c r="B96" i="3"/>
  <c r="A96" i="3"/>
  <c r="H95" i="3"/>
  <c r="G95" i="3"/>
  <c r="F95" i="3"/>
  <c r="E95" i="3"/>
  <c r="D95" i="3"/>
  <c r="C95" i="3"/>
  <c r="B95" i="3"/>
  <c r="A95" i="3"/>
  <c r="H94" i="3"/>
  <c r="G94" i="3"/>
  <c r="F94" i="3"/>
  <c r="E94" i="3"/>
  <c r="D94" i="3"/>
  <c r="C94" i="3"/>
  <c r="B94" i="3"/>
  <c r="A94" i="3"/>
  <c r="H93" i="3"/>
  <c r="G93" i="3"/>
  <c r="F93" i="3"/>
  <c r="E93" i="3"/>
  <c r="D93" i="3"/>
  <c r="C93" i="3"/>
  <c r="B93" i="3"/>
  <c r="A93" i="3"/>
  <c r="H92" i="3"/>
  <c r="G92" i="3"/>
  <c r="F92" i="3"/>
  <c r="E92" i="3"/>
  <c r="D92" i="3"/>
  <c r="C92" i="3"/>
  <c r="B92" i="3"/>
  <c r="A92" i="3"/>
  <c r="H91" i="3"/>
  <c r="G91" i="3"/>
  <c r="F91" i="3"/>
  <c r="E91" i="3"/>
  <c r="D91" i="3"/>
  <c r="C91" i="3"/>
  <c r="B91" i="3"/>
  <c r="A91" i="3"/>
  <c r="H90" i="3"/>
  <c r="G90" i="3"/>
  <c r="F90" i="3"/>
  <c r="E90" i="3"/>
  <c r="D90" i="3"/>
  <c r="C90" i="3"/>
  <c r="B90" i="3"/>
  <c r="A90" i="3"/>
  <c r="H89" i="3"/>
  <c r="G89" i="3"/>
  <c r="F89" i="3"/>
  <c r="E89" i="3"/>
  <c r="D89" i="3"/>
  <c r="C89" i="3"/>
  <c r="B89" i="3"/>
  <c r="A89" i="3"/>
  <c r="H88" i="3"/>
  <c r="G88" i="3"/>
  <c r="F88" i="3"/>
  <c r="E88" i="3"/>
  <c r="D88" i="3"/>
  <c r="C88" i="3"/>
  <c r="B88" i="3"/>
  <c r="A88" i="3"/>
  <c r="H87" i="3"/>
  <c r="G87" i="3"/>
  <c r="F87" i="3"/>
  <c r="E87" i="3"/>
  <c r="D87" i="3"/>
  <c r="C87" i="3"/>
  <c r="B87" i="3"/>
  <c r="A87" i="3"/>
  <c r="H86" i="3"/>
  <c r="G86" i="3"/>
  <c r="F86" i="3"/>
  <c r="E86" i="3"/>
  <c r="D86" i="3"/>
  <c r="C86" i="3"/>
  <c r="B86" i="3"/>
  <c r="A86" i="3"/>
  <c r="H85" i="3"/>
  <c r="G85" i="3"/>
  <c r="F85" i="3"/>
  <c r="E85" i="3"/>
  <c r="D85" i="3"/>
  <c r="C85" i="3"/>
  <c r="B85" i="3"/>
  <c r="A85" i="3"/>
  <c r="H84" i="3"/>
  <c r="G84" i="3"/>
  <c r="F84" i="3"/>
  <c r="E84" i="3"/>
  <c r="D84" i="3"/>
  <c r="C84" i="3"/>
  <c r="B84" i="3"/>
  <c r="A84" i="3"/>
  <c r="H83" i="3"/>
  <c r="G83" i="3"/>
  <c r="F83" i="3"/>
  <c r="E83" i="3"/>
  <c r="D83" i="3"/>
  <c r="C83" i="3"/>
  <c r="B83" i="3"/>
  <c r="A83" i="3"/>
  <c r="H82" i="3"/>
  <c r="G82" i="3"/>
  <c r="F82" i="3"/>
  <c r="E82" i="3"/>
  <c r="D82" i="3"/>
  <c r="C82" i="3"/>
  <c r="B82" i="3"/>
  <c r="A82" i="3"/>
  <c r="H81" i="3"/>
  <c r="G81" i="3"/>
  <c r="F81" i="3"/>
  <c r="E81" i="3"/>
  <c r="D81" i="3"/>
  <c r="C81" i="3"/>
  <c r="B81" i="3"/>
  <c r="A81" i="3"/>
  <c r="H80" i="3"/>
  <c r="G80" i="3"/>
  <c r="F80" i="3"/>
  <c r="E80" i="3"/>
  <c r="D80" i="3"/>
  <c r="C80" i="3"/>
  <c r="B80" i="3"/>
  <c r="A80" i="3"/>
  <c r="H79" i="3"/>
  <c r="G79" i="3"/>
  <c r="F79" i="3"/>
  <c r="E79" i="3"/>
  <c r="D79" i="3"/>
  <c r="C79" i="3"/>
  <c r="B79" i="3"/>
  <c r="A79" i="3"/>
  <c r="H78" i="3"/>
  <c r="G78" i="3"/>
  <c r="F78" i="3"/>
  <c r="E78" i="3"/>
  <c r="D78" i="3"/>
  <c r="C78" i="3"/>
  <c r="B78" i="3"/>
  <c r="A78" i="3"/>
  <c r="H77" i="3"/>
  <c r="G77" i="3"/>
  <c r="F77" i="3"/>
  <c r="E77" i="3"/>
  <c r="D77" i="3"/>
  <c r="C77" i="3"/>
  <c r="B77" i="3"/>
  <c r="A77" i="3"/>
  <c r="H76" i="3"/>
  <c r="G76" i="3"/>
  <c r="F76" i="3"/>
  <c r="E76" i="3"/>
  <c r="D76" i="3"/>
  <c r="C76" i="3"/>
  <c r="B76" i="3"/>
  <c r="A76" i="3"/>
  <c r="H75" i="3"/>
  <c r="G75" i="3"/>
  <c r="F75" i="3"/>
  <c r="E75" i="3"/>
  <c r="D75" i="3"/>
  <c r="C75" i="3"/>
  <c r="B75" i="3"/>
  <c r="A75" i="3"/>
  <c r="H74" i="3"/>
  <c r="G74" i="3"/>
  <c r="F74" i="3"/>
  <c r="E74" i="3"/>
  <c r="D74" i="3"/>
  <c r="C74" i="3"/>
  <c r="B74" i="3"/>
  <c r="A74" i="3"/>
  <c r="H73" i="3"/>
  <c r="G73" i="3"/>
  <c r="F73" i="3"/>
  <c r="E73" i="3"/>
  <c r="D73" i="3"/>
  <c r="C73" i="3"/>
  <c r="B73" i="3"/>
  <c r="A73" i="3"/>
  <c r="H72" i="3"/>
  <c r="G72" i="3"/>
  <c r="F72" i="3"/>
  <c r="E72" i="3"/>
  <c r="D72" i="3"/>
  <c r="C72" i="3"/>
  <c r="B72" i="3"/>
  <c r="A72" i="3"/>
  <c r="H71" i="3"/>
  <c r="G71" i="3"/>
  <c r="F71" i="3"/>
  <c r="E71" i="3"/>
  <c r="D71" i="3"/>
  <c r="C71" i="3"/>
  <c r="B71" i="3"/>
  <c r="A71" i="3"/>
  <c r="H70" i="3"/>
  <c r="G70" i="3"/>
  <c r="F70" i="3"/>
  <c r="E70" i="3"/>
  <c r="D70" i="3"/>
  <c r="C70" i="3"/>
  <c r="B70" i="3"/>
  <c r="A70" i="3"/>
  <c r="H69" i="3"/>
  <c r="G69" i="3"/>
  <c r="F69" i="3"/>
  <c r="E69" i="3"/>
  <c r="D69" i="3"/>
  <c r="C69" i="3"/>
  <c r="B69" i="3"/>
  <c r="A69" i="3"/>
  <c r="H68" i="3"/>
  <c r="G68" i="3"/>
  <c r="F68" i="3"/>
  <c r="E68" i="3"/>
  <c r="D68" i="3"/>
  <c r="C68" i="3"/>
  <c r="B68" i="3"/>
  <c r="A68" i="3"/>
  <c r="H67" i="3"/>
  <c r="G67" i="3"/>
  <c r="F67" i="3"/>
  <c r="E67" i="3"/>
  <c r="D67" i="3"/>
  <c r="C67" i="3"/>
  <c r="B67" i="3"/>
  <c r="A67" i="3"/>
  <c r="H66" i="3"/>
  <c r="G66" i="3"/>
  <c r="F66" i="3"/>
  <c r="E66" i="3"/>
  <c r="D66" i="3"/>
  <c r="C66" i="3"/>
  <c r="B66" i="3"/>
  <c r="A66" i="3"/>
  <c r="H65" i="3"/>
  <c r="G65" i="3"/>
  <c r="F65" i="3"/>
  <c r="E65" i="3"/>
  <c r="D65" i="3"/>
  <c r="C65" i="3"/>
  <c r="B65" i="3"/>
  <c r="A65" i="3"/>
  <c r="H64" i="3"/>
  <c r="G64" i="3"/>
  <c r="F64" i="3"/>
  <c r="E64" i="3"/>
  <c r="D64" i="3"/>
  <c r="C64" i="3"/>
  <c r="B64" i="3"/>
  <c r="A64" i="3"/>
  <c r="H63" i="3"/>
  <c r="G63" i="3"/>
  <c r="F63" i="3"/>
  <c r="E63" i="3"/>
  <c r="D63" i="3"/>
  <c r="C63" i="3"/>
  <c r="B63" i="3"/>
  <c r="A63" i="3"/>
  <c r="H62" i="3"/>
  <c r="G62" i="3"/>
  <c r="F62" i="3"/>
  <c r="E62" i="3"/>
  <c r="D62" i="3"/>
  <c r="C62" i="3"/>
  <c r="B62" i="3"/>
  <c r="A62" i="3"/>
  <c r="H61" i="3"/>
  <c r="G61" i="3"/>
  <c r="F61" i="3"/>
  <c r="E61" i="3"/>
  <c r="D61" i="3"/>
  <c r="C61" i="3"/>
  <c r="B61" i="3"/>
  <c r="A61" i="3"/>
  <c r="H60" i="3"/>
  <c r="G60" i="3"/>
  <c r="F60" i="3"/>
  <c r="E60" i="3"/>
  <c r="D60" i="3"/>
  <c r="C60" i="3"/>
  <c r="B60" i="3"/>
  <c r="A60" i="3"/>
  <c r="H59" i="3"/>
  <c r="G59" i="3"/>
  <c r="F59" i="3"/>
  <c r="E59" i="3"/>
  <c r="D59" i="3"/>
  <c r="C59" i="3"/>
  <c r="B59" i="3"/>
  <c r="A59" i="3"/>
  <c r="H58" i="3"/>
  <c r="G58" i="3"/>
  <c r="F58" i="3"/>
  <c r="E58" i="3"/>
  <c r="D58" i="3"/>
  <c r="C58" i="3"/>
  <c r="B58" i="3"/>
  <c r="A58" i="3"/>
  <c r="H57" i="3"/>
  <c r="G57" i="3"/>
  <c r="F57" i="3"/>
  <c r="E57" i="3"/>
  <c r="D57" i="3"/>
  <c r="C57" i="3"/>
  <c r="B57" i="3"/>
  <c r="A57" i="3"/>
  <c r="H56" i="3"/>
  <c r="G56" i="3"/>
  <c r="F56" i="3"/>
  <c r="E56" i="3"/>
  <c r="D56" i="3"/>
  <c r="C56" i="3"/>
  <c r="B56" i="3"/>
  <c r="A56" i="3"/>
  <c r="H55" i="3"/>
  <c r="G55" i="3"/>
  <c r="F55" i="3"/>
  <c r="E55" i="3"/>
  <c r="D55" i="3"/>
  <c r="C55" i="3"/>
  <c r="B55" i="3"/>
  <c r="A55" i="3"/>
  <c r="H54" i="3"/>
  <c r="G54" i="3"/>
  <c r="F54" i="3"/>
  <c r="E54" i="3"/>
  <c r="D54" i="3"/>
  <c r="C54" i="3"/>
  <c r="B54" i="3"/>
  <c r="A54" i="3"/>
  <c r="H53" i="3"/>
  <c r="G53" i="3"/>
  <c r="F53" i="3"/>
  <c r="E53" i="3"/>
  <c r="D53" i="3"/>
  <c r="C53" i="3"/>
  <c r="B53" i="3"/>
  <c r="A53" i="3"/>
  <c r="H52" i="3"/>
  <c r="G52" i="3"/>
  <c r="F52" i="3"/>
  <c r="E52" i="3"/>
  <c r="D52" i="3"/>
  <c r="C52" i="3"/>
  <c r="B52" i="3"/>
  <c r="A52" i="3"/>
  <c r="H51" i="3"/>
  <c r="G51" i="3"/>
  <c r="F51" i="3"/>
  <c r="E51" i="3"/>
  <c r="D51" i="3"/>
  <c r="C51" i="3"/>
  <c r="B51" i="3"/>
  <c r="A51" i="3"/>
  <c r="H50" i="3"/>
  <c r="G50" i="3"/>
  <c r="F50" i="3"/>
  <c r="E50" i="3"/>
  <c r="D50" i="3"/>
  <c r="C50" i="3"/>
  <c r="B50" i="3"/>
  <c r="A50" i="3"/>
  <c r="H49" i="3"/>
  <c r="G49" i="3"/>
  <c r="F49" i="3"/>
  <c r="E49" i="3"/>
  <c r="D49" i="3"/>
  <c r="C49" i="3"/>
  <c r="B49" i="3"/>
  <c r="A49" i="3"/>
  <c r="H48" i="3"/>
  <c r="G48" i="3"/>
  <c r="F48" i="3"/>
  <c r="E48" i="3"/>
  <c r="D48" i="3"/>
  <c r="C48" i="3"/>
  <c r="B48" i="3"/>
  <c r="A48" i="3"/>
  <c r="H47" i="3"/>
  <c r="G47" i="3"/>
  <c r="F47" i="3"/>
  <c r="E47" i="3"/>
  <c r="D47" i="3"/>
  <c r="C47" i="3"/>
  <c r="B47" i="3"/>
  <c r="A47" i="3"/>
  <c r="H46" i="3"/>
  <c r="G46" i="3"/>
  <c r="F46" i="3"/>
  <c r="E46" i="3"/>
  <c r="D46" i="3"/>
  <c r="C46" i="3"/>
  <c r="B46" i="3"/>
  <c r="A46" i="3"/>
  <c r="H45" i="3"/>
  <c r="G45" i="3"/>
  <c r="F45" i="3"/>
  <c r="E45" i="3"/>
  <c r="D45" i="3"/>
  <c r="C45" i="3"/>
  <c r="B45" i="3"/>
  <c r="A45" i="3"/>
  <c r="H44" i="3"/>
  <c r="G44" i="3"/>
  <c r="F44" i="3"/>
  <c r="E44" i="3"/>
  <c r="D44" i="3"/>
  <c r="C44" i="3"/>
  <c r="B44" i="3"/>
  <c r="A44" i="3"/>
  <c r="H43" i="3"/>
  <c r="G43" i="3"/>
  <c r="F43" i="3"/>
  <c r="E43" i="3"/>
  <c r="D43" i="3"/>
  <c r="C43" i="3"/>
  <c r="B43" i="3"/>
  <c r="A43" i="3"/>
  <c r="H42" i="3"/>
  <c r="G42" i="3"/>
  <c r="F42" i="3"/>
  <c r="E42" i="3"/>
  <c r="D42" i="3"/>
  <c r="C42" i="3"/>
  <c r="B42" i="3"/>
  <c r="A42" i="3"/>
  <c r="H41" i="3"/>
  <c r="G41" i="3"/>
  <c r="F41" i="3"/>
  <c r="E41" i="3"/>
  <c r="D41" i="3"/>
  <c r="C41" i="3"/>
  <c r="B41" i="3"/>
  <c r="A41" i="3"/>
  <c r="H40" i="3"/>
  <c r="G40" i="3"/>
  <c r="F40" i="3"/>
  <c r="E40" i="3"/>
  <c r="D40" i="3"/>
  <c r="C40" i="3"/>
  <c r="B40" i="3"/>
  <c r="A40" i="3"/>
  <c r="H39" i="3"/>
  <c r="G39" i="3"/>
  <c r="F39" i="3"/>
  <c r="E39" i="3"/>
  <c r="D39" i="3"/>
  <c r="C39" i="3"/>
  <c r="B39" i="3"/>
  <c r="A39" i="3"/>
  <c r="H38" i="3"/>
  <c r="G38" i="3"/>
  <c r="F38" i="3"/>
  <c r="E38" i="3"/>
  <c r="D38" i="3"/>
  <c r="C38" i="3"/>
  <c r="B38" i="3"/>
  <c r="A38" i="3"/>
  <c r="H37" i="3"/>
  <c r="G37" i="3"/>
  <c r="F37" i="3"/>
  <c r="E37" i="3"/>
  <c r="D37" i="3"/>
  <c r="C37" i="3"/>
  <c r="B37" i="3"/>
  <c r="A37" i="3"/>
  <c r="H36" i="3"/>
  <c r="G36" i="3"/>
  <c r="F36" i="3"/>
  <c r="E36" i="3"/>
  <c r="D36" i="3"/>
  <c r="C36" i="3"/>
  <c r="B36" i="3"/>
  <c r="A36" i="3"/>
  <c r="H35" i="3"/>
  <c r="G35" i="3"/>
  <c r="F35" i="3"/>
  <c r="E35" i="3"/>
  <c r="D35" i="3"/>
  <c r="C35" i="3"/>
  <c r="B35" i="3"/>
  <c r="A35" i="3"/>
  <c r="H34" i="3"/>
  <c r="G34" i="3"/>
  <c r="F34" i="3"/>
  <c r="E34" i="3"/>
  <c r="D34" i="3"/>
  <c r="C34" i="3"/>
  <c r="B34" i="3"/>
  <c r="A34" i="3"/>
  <c r="H33" i="3"/>
  <c r="G33" i="3"/>
  <c r="F33" i="3"/>
  <c r="E33" i="3"/>
  <c r="D33" i="3"/>
  <c r="C33" i="3"/>
  <c r="B33" i="3"/>
  <c r="A33" i="3"/>
  <c r="H32" i="3"/>
  <c r="G32" i="3"/>
  <c r="F32" i="3"/>
  <c r="E32" i="3"/>
  <c r="D32" i="3"/>
  <c r="C32" i="3"/>
  <c r="B32" i="3"/>
  <c r="A32" i="3"/>
  <c r="H31" i="3"/>
  <c r="G31" i="3"/>
  <c r="F31" i="3"/>
  <c r="E31" i="3"/>
  <c r="D31" i="3"/>
  <c r="C31" i="3"/>
  <c r="B31" i="3"/>
  <c r="A31" i="3"/>
  <c r="H30" i="3"/>
  <c r="G30" i="3"/>
  <c r="F30" i="3"/>
  <c r="E30" i="3"/>
  <c r="D30" i="3"/>
  <c r="C30" i="3"/>
  <c r="B30" i="3"/>
  <c r="A30" i="3"/>
  <c r="H29" i="3"/>
  <c r="G29" i="3"/>
  <c r="F29" i="3"/>
  <c r="E29" i="3"/>
  <c r="D29" i="3"/>
  <c r="C29" i="3"/>
  <c r="B29" i="3"/>
  <c r="A29" i="3"/>
  <c r="H28" i="3"/>
  <c r="G28" i="3"/>
  <c r="F28" i="3"/>
  <c r="E28" i="3"/>
  <c r="D28" i="3"/>
  <c r="C28" i="3"/>
  <c r="B28" i="3"/>
  <c r="A28" i="3"/>
  <c r="H27" i="3"/>
  <c r="G27" i="3"/>
  <c r="F27" i="3"/>
  <c r="E27" i="3"/>
  <c r="D27" i="3"/>
  <c r="C27" i="3"/>
  <c r="B27" i="3"/>
  <c r="A27" i="3"/>
  <c r="H26" i="3"/>
  <c r="G26" i="3"/>
  <c r="F26" i="3"/>
  <c r="E26" i="3"/>
  <c r="D26" i="3"/>
  <c r="C26" i="3"/>
  <c r="B26" i="3"/>
  <c r="A26" i="3"/>
  <c r="H25" i="3"/>
  <c r="G25" i="3"/>
  <c r="F25" i="3"/>
  <c r="E25" i="3"/>
  <c r="D25" i="3"/>
  <c r="C25" i="3"/>
  <c r="B25" i="3"/>
  <c r="A25" i="3"/>
  <c r="H24" i="3"/>
  <c r="G24" i="3"/>
  <c r="F24" i="3"/>
  <c r="E24" i="3"/>
  <c r="D24" i="3"/>
  <c r="C24" i="3"/>
  <c r="B24" i="3"/>
  <c r="A24" i="3"/>
  <c r="H23" i="3"/>
  <c r="G23" i="3"/>
  <c r="F23" i="3"/>
  <c r="E23" i="3"/>
  <c r="D23" i="3"/>
  <c r="C23" i="3"/>
  <c r="B23" i="3"/>
  <c r="A23" i="3"/>
  <c r="H22" i="3"/>
  <c r="G22" i="3"/>
  <c r="F22" i="3"/>
  <c r="E22" i="3"/>
  <c r="D22" i="3"/>
  <c r="C22" i="3"/>
  <c r="B22" i="3"/>
  <c r="A22" i="3"/>
  <c r="H21" i="3"/>
  <c r="G21" i="3"/>
  <c r="F21" i="3"/>
  <c r="E21" i="3"/>
  <c r="D21" i="3"/>
  <c r="C21" i="3"/>
  <c r="B21" i="3"/>
  <c r="A21" i="3"/>
  <c r="H20" i="3"/>
  <c r="G20" i="3"/>
  <c r="F20" i="3"/>
  <c r="E20" i="3"/>
  <c r="D20" i="3"/>
  <c r="C20" i="3"/>
  <c r="B20" i="3"/>
  <c r="A20" i="3"/>
  <c r="H19" i="3"/>
  <c r="G19" i="3"/>
  <c r="F19" i="3"/>
  <c r="E19" i="3"/>
  <c r="D19" i="3"/>
  <c r="C19" i="3"/>
  <c r="B19" i="3"/>
  <c r="A19" i="3"/>
  <c r="H18" i="3"/>
  <c r="G18" i="3"/>
  <c r="F18" i="3"/>
  <c r="E18" i="3"/>
  <c r="D18" i="3"/>
  <c r="C18" i="3"/>
  <c r="B18" i="3"/>
  <c r="A18" i="3"/>
  <c r="H17" i="3"/>
  <c r="G17" i="3"/>
  <c r="F17" i="3"/>
  <c r="E17" i="3"/>
  <c r="D17" i="3"/>
  <c r="C17" i="3"/>
  <c r="B17" i="3"/>
  <c r="A17" i="3"/>
  <c r="H16" i="3"/>
  <c r="G16" i="3"/>
  <c r="F16" i="3"/>
  <c r="E16" i="3"/>
  <c r="D16" i="3"/>
  <c r="C16" i="3"/>
  <c r="B16" i="3"/>
  <c r="A16" i="3"/>
  <c r="H15" i="3"/>
  <c r="G15" i="3"/>
  <c r="F15" i="3"/>
  <c r="E15" i="3"/>
  <c r="D15" i="3"/>
  <c r="C15" i="3"/>
  <c r="B15" i="3"/>
  <c r="A15" i="3"/>
  <c r="H14" i="3"/>
  <c r="G14" i="3"/>
  <c r="F14" i="3"/>
  <c r="E14" i="3"/>
  <c r="D14" i="3"/>
  <c r="C14" i="3"/>
  <c r="B14" i="3"/>
  <c r="A14" i="3"/>
  <c r="H13" i="3"/>
  <c r="G13" i="3"/>
  <c r="F13" i="3"/>
  <c r="E13" i="3"/>
  <c r="D13" i="3"/>
  <c r="C13" i="3"/>
  <c r="B13" i="3"/>
  <c r="A13" i="3"/>
  <c r="A10" i="3"/>
  <c r="O10" i="14" l="1"/>
  <c r="D10" i="14"/>
  <c r="E10" i="14"/>
</calcChain>
</file>

<file path=xl/sharedStrings.xml><?xml version="1.0" encoding="utf-8"?>
<sst xmlns="http://schemas.openxmlformats.org/spreadsheetml/2006/main" count="283" uniqueCount="135">
  <si>
    <t>REGLEMENTS GENERAUX</t>
  </si>
  <si>
    <t>3 - Règlements administratifs</t>
  </si>
  <si>
    <t>TITRE II - Règles concernant les joueurs et dirigeants</t>
  </si>
  <si>
    <t>CHAPITRE 1 - LES LICENCES</t>
  </si>
  <si>
    <t>II.101 - Les différentes licences</t>
  </si>
  <si>
    <r>
      <rPr>
        <sz val="12"/>
        <rFont val="Arial"/>
      </rPr>
      <t xml:space="preserve">II.101.3 - Il existe cinq catégories de licence, ainsi que des titres de participation: 
1) - </t>
    </r>
    <r>
      <rPr>
        <sz val="12"/>
        <color rgb="FFFF0000"/>
        <rFont val="Arial"/>
      </rPr>
      <t xml:space="preserve">Licence compétition </t>
    </r>
    <r>
      <rPr>
        <sz val="12"/>
        <rFont val="Arial"/>
      </rPr>
      <t xml:space="preserve">(attachée à une association)
La licence compétition est obligatoire pour tous ceux qui veulent disputer des compétitions avec échange de points (voir articles IV.101 à IV.212). Elle concerne également tous les
dirigeants et cadres désignés ci-après :
...
- </t>
    </r>
    <r>
      <rPr>
        <sz val="12"/>
        <color rgb="FFFF0000"/>
        <rFont val="Arial"/>
      </rPr>
      <t>arbitres et juges-arbitres en activité</t>
    </r>
    <r>
      <rPr>
        <sz val="12"/>
        <rFont val="Arial"/>
      </rPr>
      <t xml:space="preserve"> ;
...</t>
    </r>
  </si>
  <si>
    <t>TITRE III - Les cadres techniques de la Fédération</t>
  </si>
  <si>
    <t>CHAPITRE 2 - LES JUGES-ARBITRES, LES ARBITRES</t>
  </si>
  <si>
    <t>III.208 - Inactivité</t>
  </si>
  <si>
    <t>Tout cadre ou juge-arbitre ayant une activité nettement insuffisante sera placé successivement en inactivité 1ère, 2ème ou 3ème année ; à la suite de la mise en inactivité 3ème année, il sera radié et ne pourra retrouver son grade qu’après avoir subi la formation et l’examen du niveau correspondant tel qu’il est dit aux articles III.203 et III.204.</t>
  </si>
  <si>
    <t>LIGUE DU GRAND EST DE TENNIS DE TABLE</t>
  </si>
  <si>
    <t>COMMISSION REGIONALE D’ARBITRAGE</t>
  </si>
  <si>
    <t>EXPLICATIONS SUR LA FORMATION CONTINUE DES CADRES DE L'ARBITRAGE</t>
  </si>
  <si>
    <t>Préambule:</t>
  </si>
  <si>
    <t>Seules les personnes actives ou considérées comme inactives 1ère, 2ème ou 3ème année peuvent officier.</t>
  </si>
  <si>
    <t>Les personnes considérées comme inactives ne peuvent plus officier, y compris pour le compte de leur club.</t>
  </si>
  <si>
    <t>AC:</t>
  </si>
  <si>
    <r>
      <rPr>
        <sz val="11"/>
        <color rgb="FF000000"/>
        <rFont val="Calibri"/>
      </rPr>
      <t xml:space="preserve">Sont </t>
    </r>
    <r>
      <rPr>
        <b/>
        <sz val="11"/>
        <color rgb="FFFF0000"/>
        <rFont val="Calibri"/>
      </rPr>
      <t xml:space="preserve">actifs </t>
    </r>
    <r>
      <rPr>
        <sz val="11"/>
        <color rgb="FF000000"/>
        <rFont val="Calibri"/>
      </rPr>
      <t>pour la saison en cours les personnes répondants au critères suivants :</t>
    </r>
  </si>
  <si>
    <t>● être licencié loisir ou compétition (la licence loisir devra passer en compétition)</t>
  </si>
  <si>
    <t>● avoir le grade AC</t>
  </si>
  <si>
    <t>AR/JA1:</t>
  </si>
  <si>
    <r>
      <rPr>
        <sz val="11"/>
        <color rgb="FF000000"/>
        <rFont val="Calibri"/>
      </rPr>
      <t xml:space="preserve">Sont </t>
    </r>
    <r>
      <rPr>
        <b/>
        <sz val="11"/>
        <color rgb="FFFF0000"/>
        <rFont val="Calibri"/>
      </rPr>
      <t xml:space="preserve">actifs </t>
    </r>
    <r>
      <rPr>
        <sz val="11"/>
        <color rgb="FF000000"/>
        <rFont val="Calibri"/>
      </rPr>
      <t>pour la saison en cours les personnes répondants au critères suivants :</t>
    </r>
  </si>
  <si>
    <t>● avoir le JA1 et/ou AR</t>
  </si>
  <si>
    <r>
      <rPr>
        <sz val="11"/>
        <color rgb="FF000000"/>
        <rFont val="Calibri"/>
      </rPr>
      <t xml:space="preserve">● avoir été nommé au grade concerné sur la saison en cours ou la précédente </t>
    </r>
    <r>
      <rPr>
        <b/>
        <sz val="11"/>
        <color rgb="FFFF0000"/>
        <rFont val="Calibri"/>
      </rPr>
      <t xml:space="preserve">OU
</t>
    </r>
    <r>
      <rPr>
        <sz val="11"/>
        <color rgb="FF000000"/>
        <rFont val="Calibri"/>
      </rPr>
      <t xml:space="preserve">    avoir participé au colloque des cadres de l'arbitrage sur la saison en cours </t>
    </r>
    <r>
      <rPr>
        <b/>
        <sz val="11"/>
        <color rgb="FFFF0000"/>
        <rFont val="Calibri"/>
      </rPr>
      <t xml:space="preserve">OU
</t>
    </r>
    <r>
      <rPr>
        <sz val="11"/>
        <color rgb="FF000000"/>
        <rFont val="Calibri"/>
      </rPr>
      <t xml:space="preserve">    avoir effectué au moins une prestation sur les épreuves individuelles internationales,
    fédérales de niveau national ou sur les épreuves de prestige organisées par la Ligue</t>
    </r>
  </si>
  <si>
    <r>
      <rPr>
        <sz val="11"/>
        <color rgb="FF000000"/>
        <rFont val="Calibri"/>
      </rPr>
      <t xml:space="preserve">Sont </t>
    </r>
    <r>
      <rPr>
        <b/>
        <sz val="11"/>
        <color rgb="FFFF0000"/>
        <rFont val="Calibri"/>
      </rPr>
      <t>inactifs 1ère année</t>
    </r>
    <r>
      <rPr>
        <sz val="11"/>
        <color rgb="FF000000"/>
        <rFont val="Calibri"/>
      </rPr>
      <t xml:space="preserve"> pour la saison en cours les personnes répondants aux critères suivants:</t>
    </r>
  </si>
  <si>
    <t>● avoir le grade JA1 et/ou AR</t>
  </si>
  <si>
    <t>● ne pas avoir participé au colloque des cadres de l'arbitrage de la saison en cours</t>
  </si>
  <si>
    <r>
      <rPr>
        <sz val="11"/>
        <color rgb="FF000000"/>
        <rFont val="Calibri"/>
      </rPr>
      <t xml:space="preserve">Sont </t>
    </r>
    <r>
      <rPr>
        <b/>
        <sz val="11"/>
        <color rgb="FFFF0000"/>
        <rFont val="Calibri"/>
      </rPr>
      <t>inactifs 2ème année</t>
    </r>
    <r>
      <rPr>
        <sz val="11"/>
        <color rgb="FF000000"/>
        <rFont val="Calibri"/>
      </rPr>
      <t xml:space="preserve"> pour la saison en cours les personnes répondants aux critères suivants:</t>
    </r>
  </si>
  <si>
    <t>● ne pas avoir participé au colloque des cadres de l'arbitrage de la saison en cours et celui de la saison précédente</t>
  </si>
  <si>
    <r>
      <rPr>
        <sz val="11"/>
        <color rgb="FF000000"/>
        <rFont val="Calibri"/>
      </rPr>
      <t>Sont</t>
    </r>
    <r>
      <rPr>
        <b/>
        <sz val="11"/>
        <color rgb="FFFF0000"/>
        <rFont val="Calibri"/>
      </rPr>
      <t xml:space="preserve"> inactifs 3ème année</t>
    </r>
    <r>
      <rPr>
        <sz val="11"/>
        <color rgb="FF000000"/>
        <rFont val="Calibri"/>
      </rPr>
      <t xml:space="preserve"> pour la saison en cours les personnes répondants aux critères suivants:</t>
    </r>
  </si>
  <si>
    <t>● ne pas avoir participé au colloque des cadres de l'arbitrage de la saison en cours et ceux des 2 saisons précédentes</t>
  </si>
  <si>
    <r>
      <rPr>
        <sz val="11"/>
        <color rgb="FF000000"/>
        <rFont val="Calibri"/>
      </rPr>
      <t xml:space="preserve">Sont </t>
    </r>
    <r>
      <rPr>
        <b/>
        <sz val="11"/>
        <color rgb="FFFF0000"/>
        <rFont val="Calibri"/>
      </rPr>
      <t xml:space="preserve">inactifs </t>
    </r>
    <r>
      <rPr>
        <sz val="11"/>
        <color rgb="FF000000"/>
        <rFont val="Calibri"/>
      </rPr>
      <t>et retirés de la liste toutes les autres personnes</t>
    </r>
  </si>
  <si>
    <t>JA2/JA3:</t>
  </si>
  <si>
    <r>
      <rPr>
        <sz val="11"/>
        <color rgb="FF000000"/>
        <rFont val="Calibri"/>
      </rPr>
      <t xml:space="preserve">Sont </t>
    </r>
    <r>
      <rPr>
        <b/>
        <sz val="11"/>
        <color rgb="FFFF0000"/>
        <rFont val="Calibri"/>
      </rPr>
      <t xml:space="preserve">actifs </t>
    </r>
    <r>
      <rPr>
        <sz val="11"/>
        <color rgb="FF000000"/>
        <rFont val="Calibri"/>
      </rPr>
      <t>pour la saison en cours les personnes répondants au critères suivants :</t>
    </r>
  </si>
  <si>
    <t>● avoir le grade JA2 et/ou JA3</t>
  </si>
  <si>
    <t>● avoir effectué des prestations sur le territoire (niveaux départemental, régional ou national)</t>
  </si>
  <si>
    <r>
      <rPr>
        <sz val="11"/>
        <color rgb="FF000000"/>
        <rFont val="Calibri"/>
      </rPr>
      <t xml:space="preserve">Sont </t>
    </r>
    <r>
      <rPr>
        <b/>
        <sz val="11"/>
        <color rgb="FFFF0000"/>
        <rFont val="Calibri"/>
      </rPr>
      <t xml:space="preserve">inactifs </t>
    </r>
    <r>
      <rPr>
        <sz val="11"/>
        <color rgb="FF000000"/>
        <rFont val="Calibri"/>
      </rPr>
      <t>et retirés de la liste toutes les autres personnes</t>
    </r>
  </si>
  <si>
    <t>AN/AI:</t>
  </si>
  <si>
    <r>
      <rPr>
        <sz val="11"/>
        <color rgb="FF000000"/>
        <rFont val="Calibri"/>
      </rPr>
      <t xml:space="preserve">Sont </t>
    </r>
    <r>
      <rPr>
        <b/>
        <sz val="11"/>
        <color rgb="FFFF0000"/>
        <rFont val="Calibri"/>
      </rPr>
      <t xml:space="preserve">actifs </t>
    </r>
    <r>
      <rPr>
        <sz val="11"/>
        <color rgb="FF000000"/>
        <rFont val="Calibri"/>
      </rPr>
      <t>pour la saison en cours les personnes répondants au critères suivants :</t>
    </r>
  </si>
  <si>
    <t>● être sur la liste des arbitres nationaux et internationaux de l'espace fédéral de la FFTT
(http://www.fftt.com/site/extranet/arbitres/arbitrage)</t>
  </si>
  <si>
    <r>
      <rPr>
        <sz val="11"/>
        <color rgb="FF000000"/>
        <rFont val="Calibri"/>
      </rPr>
      <t xml:space="preserve">Sont </t>
    </r>
    <r>
      <rPr>
        <b/>
        <sz val="11"/>
        <color rgb="FFFF0000"/>
        <rFont val="Calibri"/>
      </rPr>
      <t xml:space="preserve">inactifs </t>
    </r>
    <r>
      <rPr>
        <sz val="11"/>
        <color rgb="FF000000"/>
        <rFont val="Calibri"/>
      </rPr>
      <t>et retirés de la liste toutes les autres personnes</t>
    </r>
  </si>
  <si>
    <t>JAN/JAI:</t>
  </si>
  <si>
    <r>
      <rPr>
        <sz val="11"/>
        <color rgb="FF000000"/>
        <rFont val="Calibri"/>
      </rPr>
      <t xml:space="preserve">Sont </t>
    </r>
    <r>
      <rPr>
        <b/>
        <sz val="11"/>
        <color rgb="FFFF0000"/>
        <rFont val="Calibri"/>
      </rPr>
      <t xml:space="preserve">actifs </t>
    </r>
    <r>
      <rPr>
        <sz val="11"/>
        <color rgb="FF000000"/>
        <rFont val="Calibri"/>
      </rPr>
      <t>pour la saison en cours les personnes répondants au critères suivants :</t>
    </r>
  </si>
  <si>
    <t>● être sur la liste des juges-arbitres nationaux et internationaux de l'espace fédéral de la FFTT
(http://www.fftt.com/site/extranet/arbitres/juge-arbitrage-epreuves-individuelles)</t>
  </si>
  <si>
    <r>
      <rPr>
        <sz val="11"/>
        <color rgb="FF000000"/>
        <rFont val="Calibri"/>
      </rPr>
      <t xml:space="preserve">Sont </t>
    </r>
    <r>
      <rPr>
        <b/>
        <sz val="11"/>
        <color rgb="FFFF0000"/>
        <rFont val="Calibri"/>
      </rPr>
      <t xml:space="preserve">inactifs </t>
    </r>
    <r>
      <rPr>
        <sz val="11"/>
        <color rgb="FF000000"/>
        <rFont val="Calibri"/>
      </rPr>
      <t>et retirés de la liste toutes les autres personnes</t>
    </r>
  </si>
  <si>
    <t>FO:</t>
  </si>
  <si>
    <t>Géré par la CREF</t>
  </si>
  <si>
    <t>Remarque:</t>
  </si>
  <si>
    <t>en raison de la crise sanitaire du COVID-19, les saisons 2019-2020 et 2020-2021 sont considérées comme blanches, c'est-à-dire que tous les statuts d'activité sont conservés à l'identique pour tous les cadres qui n'ont pu participer au colloques de septembre 2020 ou 2021.</t>
  </si>
  <si>
    <t>Seules les personnes présentes physiquement sur l'un des 3 sites verront leur statut passer en « Actif ».</t>
  </si>
  <si>
    <t>Récapitulatif:</t>
  </si>
  <si>
    <t>Si participation 
au colloque en</t>
  </si>
  <si>
    <t>Si pratique AR/JA1
 validée en</t>
  </si>
  <si>
    <t>Si arbitre en</t>
  </si>
  <si>
    <t>Mise en inactivité sur
(reste "actif" jusqu'en)</t>
  </si>
  <si>
    <t>Statut</t>
  </si>
  <si>
    <t>Remarque</t>
  </si>
  <si>
    <t>2025-2026</t>
  </si>
  <si>
    <t>=&gt;</t>
  </si>
  <si>
    <t>actif</t>
  </si>
  <si>
    <t>2024-2025</t>
  </si>
  <si>
    <t>2023-2024</t>
  </si>
  <si>
    <t>inactivité 1ère année</t>
  </si>
  <si>
    <t>OU</t>
  </si>
  <si>
    <t>2022-2023</t>
  </si>
  <si>
    <t>inactivité 2ème année</t>
  </si>
  <si>
    <t>2021-2022</t>
  </si>
  <si>
    <t>inactivité 3ème année</t>
  </si>
  <si>
    <t>2020-2021</t>
  </si>
  <si>
    <t>inactif</t>
  </si>
  <si>
    <t>Saison 2020-2021 blanche</t>
  </si>
  <si>
    <t>Saison 2019-2020 blanche</t>
  </si>
  <si>
    <t>2019-2020</t>
  </si>
  <si>
    <t>2018-2019</t>
  </si>
  <si>
    <t>2017-2018</t>
  </si>
  <si>
    <t>SINON</t>
  </si>
  <si>
    <t>ARBITRES DE CLUB (AC)</t>
  </si>
  <si>
    <t>Le grade d'arbitre le plus élevé étant seulement renseigné, tous les AR, AN et AI sont également, par définition, AC (prendre en compte les personnes dans les autres onglets).</t>
  </si>
  <si>
    <t>Arbitres de club actifs</t>
  </si>
  <si>
    <t>Dernière mise à jour: le samedi 26 juillet 2025 à 7h2m8s</t>
  </si>
  <si>
    <t>N°</t>
  </si>
  <si>
    <t>N° Licence</t>
  </si>
  <si>
    <t>Nom</t>
  </si>
  <si>
    <t>Prénom</t>
  </si>
  <si>
    <t>N° club</t>
  </si>
  <si>
    <t>Club</t>
  </si>
  <si>
    <t>CD</t>
  </si>
  <si>
    <t>Activité</t>
  </si>
  <si>
    <t>ARBITRES REGIONAUX THEORIQUES (ART)</t>
  </si>
  <si>
    <r>
      <rPr>
        <b/>
        <sz val="10"/>
        <color rgb="FFFF0000"/>
        <rFont val="Arial"/>
      </rPr>
      <t>Attention</t>
    </r>
    <r>
      <rPr>
        <sz val="10"/>
        <color rgb="FF000000"/>
        <rFont val="Arial"/>
      </rPr>
      <t>, le grade d'Arbitre Régional Théorique (ART), c'est-à-dire sans passage de l'examen pratique, ne donne pas le droit d'effectuer des prestations officielles d'Arbitre Régional.</t>
    </r>
  </si>
  <si>
    <t>Arbitres régionaux théoriques actifs</t>
  </si>
  <si>
    <t>ARBITRES REGIONAUX (AR)</t>
  </si>
  <si>
    <t>Le grade d'arbitre le plus élevé étant seulement renseigné, tous les AN et AI sont également, par définition, AR (prendre en compte les personnes dans les autres onglets).</t>
  </si>
  <si>
    <t>Arbitres régionaux actifs</t>
  </si>
  <si>
    <t>ARBITRES NATIONAUX (AN)</t>
  </si>
  <si>
    <t>Le grade d'arbitre le plus élevé étant seulement renseigné, tous les AI sont également, par définition, AN (prendre en compte les personnes dans les autres onglets).</t>
  </si>
  <si>
    <t>Arbitres nationaux actifs</t>
  </si>
  <si>
    <t>ARBITRES INTERNATIONAUX (AI)</t>
  </si>
  <si>
    <t>Seul le grade d'arbitre le plus élevé est renseigné.</t>
  </si>
  <si>
    <t>Arbitres internationaux actifs</t>
  </si>
  <si>
    <t>JUGES-ARBITRES DU CHAMPIONNAT PAR EQUIPES (JA1)</t>
  </si>
  <si>
    <t>Le grade de juge-arbitre le plus élevé étant seulement renseigné, tous les JA2, JA3, JAN et JAI sont également, par définition, JA1 (prendre en compte les personnes dans les autres onglets).</t>
  </si>
  <si>
    <t>Juges-Arbitres du championnat par équipes actifs</t>
  </si>
  <si>
    <t>JUGES-ARBITRES DU CRITERIUM FEDERAL (JA2)</t>
  </si>
  <si>
    <t>Le grade de juge-arbitre le plus élevé étant seulement renseigné, tous les JA3, JAN et JAI sont également, par définition, JA2 (prendre en compte les personnes dans les autres onglets).</t>
  </si>
  <si>
    <t>Juges-Arbitres du Critérium Fédéral actifs</t>
  </si>
  <si>
    <t>JUGES-ARBITRES DES AUTRES COMPETITION REGIONALES (JA3)</t>
  </si>
  <si>
    <t>Le grade de juge-arbitre le plus élevé étant seulement renseigné, tous les JAN et JAI sont également, par définition, JA3 (prendre en compte les personnes dans les autres onglets).</t>
  </si>
  <si>
    <t>Juges-Arbitres des Autres Compétitions Régionales actifs</t>
  </si>
  <si>
    <t>JUGES-ARBITRES NATIONAUX (JAN)</t>
  </si>
  <si>
    <t>Le grade de juge-arbitre le plus élevé étant seulement renseigné, tous les JAI sont également, par définition, JAN (prendre en compte les personnes dans les autres onglets).</t>
  </si>
  <si>
    <t>Juges-Arbitres Nationaux actifs</t>
  </si>
  <si>
    <t>JUGES-ARBITRES INTERNATIONAUX (JAI)</t>
  </si>
  <si>
    <t>Seul le grade de juge-arbitre le plus élevé est renseigné.</t>
  </si>
  <si>
    <t>Juges-Arbitres Internationaux actifs</t>
  </si>
  <si>
    <t>FORMATEURS</t>
  </si>
  <si>
    <t>Seul le grade de formateur le plus élevé est renseigné.</t>
  </si>
  <si>
    <t>Formateurs actifs</t>
  </si>
  <si>
    <t>Grade FO ARB / JA</t>
  </si>
  <si>
    <t>Grade FO de FO</t>
  </si>
  <si>
    <t>Habilitation formation
 à distance</t>
  </si>
  <si>
    <t>RECAPITULATIF DU NOMBRE DE CADRES DE L'ARBITRAGE PAR CLUBS</t>
  </si>
  <si>
    <t>AC</t>
  </si>
  <si>
    <t>ART</t>
  </si>
  <si>
    <t>AR</t>
  </si>
  <si>
    <t>AN</t>
  </si>
  <si>
    <t>AI</t>
  </si>
  <si>
    <t>JA1</t>
  </si>
  <si>
    <t>JA2</t>
  </si>
  <si>
    <t>JA3</t>
  </si>
  <si>
    <t>JAN</t>
  </si>
  <si>
    <t>JAI</t>
  </si>
  <si>
    <t>FO</t>
  </si>
  <si>
    <t>TOTAL</t>
  </si>
  <si>
    <t>N° Club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</si>
</sst>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dd/mm/yyyy\ hh:mm:ss"/>
    <numFmt numFmtId="165" formatCode="00000000"/>
    <numFmt numFmtId="166" formatCode="mmmm\ yyyy"/>
    <numFmt numFmtId="167" formatCode="dddd&quot; &quot;d&quot; &quot;mmmm&quot; &quot;yyyy&quot; à &quot;hh&quot;:&quot;mm&quot;:&quot;ss"/>
  </numFmts>
  <fonts count="35">
    <font>
      <sz val="10"/>
      <color rgb="FF000000"/>
      <name val="Arial"/>
    </font>
    <font>
      <b/>
      <u/>
      <sz val="24"/>
      <color rgb="FFFF0000"/>
      <name val="Arial"/>
    </font>
    <font>
      <sz val="11"/>
      <name val="Calibri"/>
    </font>
    <font>
      <b/>
      <u/>
      <sz val="18"/>
      <color rgb="FF0000FF"/>
      <name val="Arial"/>
    </font>
    <font>
      <b/>
      <sz val="14"/>
      <color rgb="FFFF9900"/>
      <name val="Arial"/>
    </font>
    <font>
      <u/>
      <sz val="12"/>
      <color rgb="FFFF00FF"/>
      <name val="Arial"/>
    </font>
    <font>
      <b/>
      <u/>
      <sz val="12"/>
      <name val="Arial"/>
    </font>
    <font>
      <sz val="12"/>
      <name val="Arial"/>
    </font>
    <font>
      <b/>
      <u/>
      <sz val="12"/>
      <color rgb="FF0000FF"/>
      <name val="Arial"/>
    </font>
    <font>
      <b/>
      <sz val="17"/>
      <color rgb="FF000000"/>
      <name val="Arial"/>
    </font>
    <font>
      <sz val="10"/>
      <name val="Arial"/>
    </font>
    <font>
      <b/>
      <u/>
      <sz val="12"/>
      <color rgb="FF0000FF"/>
      <name val="Calibri"/>
    </font>
    <font>
      <b/>
      <u/>
      <sz val="11"/>
      <color rgb="FF000000"/>
      <name val="Calibri"/>
    </font>
    <font>
      <b/>
      <u/>
      <sz val="11"/>
      <color rgb="FF000000"/>
      <name val="Calibri"/>
    </font>
    <font>
      <b/>
      <sz val="11"/>
      <color rgb="FFFF0000"/>
      <name val="Calibri"/>
    </font>
    <font>
      <sz val="11"/>
      <color rgb="FF000000"/>
      <name val="Calibri"/>
    </font>
    <font>
      <b/>
      <u/>
      <sz val="11"/>
      <color rgb="FF000000"/>
      <name val="Calibri"/>
    </font>
    <font>
      <b/>
      <sz val="10"/>
      <name val="Arial"/>
    </font>
    <font>
      <sz val="10"/>
      <name val="Arial"/>
    </font>
    <font>
      <sz val="10"/>
      <color rgb="FFFF0000"/>
      <name val="Arial"/>
    </font>
    <font>
      <b/>
      <u/>
      <sz val="18"/>
      <color rgb="FF0000FF"/>
      <name val="Arial"/>
    </font>
    <font>
      <b/>
      <u/>
      <sz val="18"/>
      <color rgb="FF0000FF"/>
      <name val="Arial"/>
    </font>
    <font>
      <b/>
      <sz val="15"/>
      <color rgb="FF000000"/>
      <name val="Arial"/>
    </font>
    <font>
      <b/>
      <sz val="10"/>
      <color rgb="FFFF0000"/>
      <name val="Arial"/>
    </font>
    <font>
      <i/>
      <sz val="10"/>
      <name val="Arial"/>
    </font>
    <font>
      <b/>
      <sz val="12"/>
      <name val="Arial"/>
    </font>
    <font>
      <b/>
      <u/>
      <sz val="18"/>
      <color rgb="FF0000FF"/>
      <name val="Arial"/>
    </font>
    <font>
      <b/>
      <sz val="12"/>
      <name val="Arial"/>
    </font>
    <font>
      <sz val="11"/>
      <name val="Arial"/>
    </font>
    <font>
      <sz val="11"/>
      <color rgb="FF000000"/>
      <name val="Arial"/>
    </font>
    <font>
      <sz val="11"/>
      <name val="Arial"/>
    </font>
    <font>
      <b/>
      <sz val="22"/>
      <color rgb="FFFF0000"/>
      <name val="Calibri"/>
    </font>
    <font>
      <b/>
      <sz val="10"/>
      <name val="Arial"/>
    </font>
    <font>
      <b/>
      <sz val="10"/>
      <color rgb="FF0000FF"/>
      <name val="Arial"/>
    </font>
    <font>
      <sz val="12"/>
      <color rgb="FFFF0000"/>
      <name val="Arial"/>
    </font>
  </fonts>
  <fills count="11">
    <fill>
      <patternFill patternType="none"/>
    </fill>
    <fill>
      <patternFill patternType="gray125"/>
    </fill>
    <fill>
      <patternFill patternType="solid">
        <fgColor rgb="FFFFFFFF"/>
        <bgColor rgb="FFFFFFFF"/>
      </patternFill>
    </fill>
    <fill>
      <patternFill patternType="solid">
        <fgColor rgb="FF000000"/>
        <bgColor rgb="FF000000"/>
      </patternFill>
    </fill>
    <fill>
      <patternFill patternType="solid">
        <fgColor rgb="FFCCCCCC"/>
        <bgColor rgb="FFCCCCCC"/>
      </patternFill>
    </fill>
    <fill>
      <patternFill patternType="solid">
        <fgColor rgb="FFF3F3F3"/>
        <bgColor rgb="FFF3F3F3"/>
      </patternFill>
    </fill>
    <fill>
      <patternFill patternType="solid">
        <fgColor rgb="FFFFFF00"/>
        <bgColor rgb="FFFFFF00"/>
      </patternFill>
    </fill>
    <fill>
      <patternFill patternType="solid">
        <fgColor rgb="FFBDBDBD"/>
        <bgColor rgb="FFBDBDBD"/>
      </patternFill>
    </fill>
    <fill>
      <patternFill patternType="solid">
        <fgColor rgb="FFB7B7B7"/>
        <bgColor rgb="FFB7B7B7"/>
      </patternFill>
    </fill>
    <fill>
      <patternFill patternType="solid">
        <fgColor rgb="FF999999"/>
        <bgColor rgb="FF999999"/>
      </patternFill>
    </fill>
    <fill>
      <patternFill patternType="solid">
        <fgColor rgb="FFFFFF00"/>
        <bgColor indexed="64"/>
      </patternFill>
    </fill>
  </fills>
  <borders count="15">
    <border>
      <left/>
      <right/>
      <top/>
      <bottom/>
      <diagonal/>
    </border>
    <border>
      <left/>
      <right/>
      <top/>
      <bottom style="thick">
        <color rgb="FF000000"/>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s>
  <cellStyleXfs count="1">
    <xf numFmtId="0" fontId="0" fillId="0" borderId="0"/>
  </cellStyleXfs>
  <cellXfs count="142">
    <xf numFmtId="0" fontId="0" fillId="0" borderId="0" xfId="0"/>
    <xf numFmtId="0" fontId="2" fillId="0" borderId="0" xfId="0" applyFont="1"/>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164" fontId="2" fillId="0" borderId="0" xfId="0" applyNumberFormat="1" applyFont="1"/>
    <xf numFmtId="0" fontId="2" fillId="0" borderId="0" xfId="0" applyFont="1" applyAlignment="1">
      <alignment vertical="center" wrapText="1"/>
    </xf>
    <xf numFmtId="0" fontId="6" fillId="0" borderId="0" xfId="0" applyFont="1" applyAlignment="1">
      <alignment vertical="center" wrapText="1"/>
    </xf>
    <xf numFmtId="0" fontId="8" fillId="0" borderId="0" xfId="0" applyFont="1" applyAlignment="1">
      <alignment horizontal="center"/>
    </xf>
    <xf numFmtId="165" fontId="9" fillId="0" borderId="0" xfId="0" applyNumberFormat="1" applyFont="1" applyAlignment="1">
      <alignment horizontal="center" vertical="top"/>
    </xf>
    <xf numFmtId="0" fontId="11" fillId="0" borderId="0" xfId="0" applyFont="1" applyAlignment="1">
      <alignment horizontal="center"/>
    </xf>
    <xf numFmtId="0" fontId="12" fillId="0" borderId="0" xfId="0" applyFont="1"/>
    <xf numFmtId="0" fontId="13" fillId="0" borderId="0" xfId="0" applyFont="1"/>
    <xf numFmtId="0" fontId="14" fillId="0" borderId="0" xfId="0" applyFont="1"/>
    <xf numFmtId="0" fontId="15" fillId="0" borderId="2" xfId="0" applyFont="1" applyBorder="1"/>
    <xf numFmtId="0" fontId="15" fillId="0" borderId="0" xfId="0" applyFont="1"/>
    <xf numFmtId="0" fontId="15" fillId="0" borderId="0" xfId="0" applyFont="1" applyAlignment="1">
      <alignment vertical="top" wrapText="1"/>
    </xf>
    <xf numFmtId="0" fontId="15" fillId="0" borderId="0" xfId="0" applyFont="1" applyAlignment="1">
      <alignment wrapText="1"/>
    </xf>
    <xf numFmtId="0" fontId="15" fillId="2" borderId="0" xfId="0" applyFont="1" applyFill="1" applyAlignment="1">
      <alignment horizontal="left"/>
    </xf>
    <xf numFmtId="0" fontId="16" fillId="0" borderId="0" xfId="0" applyFont="1" applyAlignment="1">
      <alignment vertical="top"/>
    </xf>
    <xf numFmtId="0" fontId="18" fillId="3" borderId="5" xfId="0" applyFont="1" applyFill="1" applyBorder="1" applyAlignment="1">
      <alignment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8" fillId="3" borderId="4" xfId="0" applyFont="1" applyFill="1" applyBorder="1" applyAlignment="1">
      <alignment vertical="center"/>
    </xf>
    <xf numFmtId="0" fontId="18" fillId="0" borderId="6" xfId="0" applyFont="1" applyBorder="1" applyAlignment="1">
      <alignment horizontal="center" vertical="center"/>
    </xf>
    <xf numFmtId="0" fontId="18" fillId="0" borderId="6" xfId="0" applyFont="1" applyBorder="1" applyAlignment="1">
      <alignment horizontal="center"/>
    </xf>
    <xf numFmtId="0" fontId="18" fillId="0" borderId="5" xfId="0" quotePrefix="1" applyFont="1" applyBorder="1" applyAlignment="1">
      <alignment horizontal="center"/>
    </xf>
    <xf numFmtId="14" fontId="18" fillId="0" borderId="6" xfId="0" applyNumberFormat="1" applyFont="1" applyBorder="1" applyAlignment="1">
      <alignment horizontal="center"/>
    </xf>
    <xf numFmtId="0" fontId="18" fillId="0" borderId="7" xfId="0" applyFont="1" applyBorder="1" applyAlignment="1">
      <alignment horizontal="center"/>
    </xf>
    <xf numFmtId="0" fontId="18" fillId="4" borderId="7" xfId="0" applyFont="1" applyFill="1" applyBorder="1"/>
    <xf numFmtId="0" fontId="18" fillId="0" borderId="6" xfId="0" quotePrefix="1" applyFont="1" applyBorder="1" applyAlignment="1">
      <alignment horizontal="center"/>
    </xf>
    <xf numFmtId="0" fontId="18" fillId="0" borderId="7" xfId="0" applyFont="1" applyBorder="1"/>
    <xf numFmtId="0" fontId="18" fillId="4" borderId="6" xfId="0" applyFont="1" applyFill="1" applyBorder="1"/>
    <xf numFmtId="0" fontId="19" fillId="0" borderId="7" xfId="0" applyFont="1" applyBorder="1"/>
    <xf numFmtId="0" fontId="20" fillId="0" borderId="0" xfId="0" applyFont="1" applyAlignment="1">
      <alignment horizontal="center" vertical="center"/>
    </xf>
    <xf numFmtId="49" fontId="21" fillId="0" borderId="0" xfId="0" applyNumberFormat="1" applyFont="1" applyAlignment="1">
      <alignment horizontal="center" vertical="center"/>
    </xf>
    <xf numFmtId="0" fontId="10" fillId="0" borderId="0" xfId="0" applyFont="1" applyAlignment="1">
      <alignment horizontal="center" vertical="center"/>
    </xf>
    <xf numFmtId="49" fontId="10" fillId="0" borderId="0" xfId="0" applyNumberFormat="1" applyFont="1" applyAlignment="1">
      <alignment horizontal="center"/>
    </xf>
    <xf numFmtId="0" fontId="10" fillId="0" borderId="0" xfId="0" applyFont="1" applyAlignment="1">
      <alignment horizontal="center"/>
    </xf>
    <xf numFmtId="0" fontId="23" fillId="0" borderId="0" xfId="0" applyFont="1" applyAlignment="1">
      <alignment horizontal="center" vertical="center"/>
    </xf>
    <xf numFmtId="0" fontId="23" fillId="0" borderId="0" xfId="0" applyFont="1"/>
    <xf numFmtId="0" fontId="24" fillId="0" borderId="0" xfId="0" applyFont="1" applyAlignment="1">
      <alignment horizontal="right"/>
    </xf>
    <xf numFmtId="0" fontId="24" fillId="0" borderId="0" xfId="0" applyFont="1" applyAlignment="1">
      <alignment horizontal="left"/>
    </xf>
    <xf numFmtId="167" fontId="24" fillId="0" borderId="0" xfId="0" applyNumberFormat="1" applyFont="1" applyAlignment="1">
      <alignment horizontal="right"/>
    </xf>
    <xf numFmtId="0" fontId="25" fillId="0" borderId="5" xfId="0" applyFont="1" applyBorder="1" applyAlignment="1">
      <alignment horizontal="center" vertical="center"/>
    </xf>
    <xf numFmtId="49" fontId="25" fillId="0" borderId="5" xfId="0" applyNumberFormat="1" applyFont="1" applyBorder="1" applyAlignment="1">
      <alignment horizontal="center" vertical="center"/>
    </xf>
    <xf numFmtId="0" fontId="10" fillId="0" borderId="5" xfId="0" applyFont="1" applyBorder="1" applyAlignment="1">
      <alignment horizontal="center" vertical="center"/>
    </xf>
    <xf numFmtId="49" fontId="0" fillId="0" borderId="5" xfId="0" applyNumberFormat="1" applyBorder="1" applyAlignment="1">
      <alignment horizontal="center"/>
    </xf>
    <xf numFmtId="0" fontId="10" fillId="0" borderId="5" xfId="0" applyFont="1" applyBorder="1"/>
    <xf numFmtId="165" fontId="10" fillId="0" borderId="5" xfId="0" applyNumberFormat="1" applyFont="1" applyBorder="1" applyAlignment="1">
      <alignment horizontal="right"/>
    </xf>
    <xf numFmtId="0" fontId="10" fillId="0" borderId="5" xfId="0" applyFont="1" applyBorder="1" applyAlignment="1">
      <alignment horizontal="center"/>
    </xf>
    <xf numFmtId="0" fontId="18" fillId="5" borderId="4" xfId="0" applyFont="1" applyFill="1" applyBorder="1" applyAlignment="1">
      <alignment horizontal="center"/>
    </xf>
    <xf numFmtId="0" fontId="18" fillId="2" borderId="4" xfId="0" applyFont="1" applyFill="1" applyBorder="1" applyAlignment="1">
      <alignment horizontal="center"/>
    </xf>
    <xf numFmtId="49" fontId="0" fillId="0" borderId="0" xfId="0" applyNumberFormat="1" applyAlignment="1">
      <alignment horizontal="center"/>
    </xf>
    <xf numFmtId="0" fontId="10" fillId="0" borderId="0" xfId="0" applyFont="1"/>
    <xf numFmtId="165" fontId="10" fillId="0" borderId="0" xfId="0" applyNumberFormat="1" applyFont="1" applyAlignment="1">
      <alignment horizontal="right"/>
    </xf>
    <xf numFmtId="165" fontId="26" fillId="0" borderId="0" xfId="0" applyNumberFormat="1" applyFont="1" applyAlignment="1">
      <alignment horizontal="center" vertical="center"/>
    </xf>
    <xf numFmtId="165" fontId="10" fillId="0" borderId="0" xfId="0" applyNumberFormat="1" applyFont="1" applyAlignment="1">
      <alignment horizontal="center"/>
    </xf>
    <xf numFmtId="0" fontId="23" fillId="6" borderId="0" xfId="0" applyFont="1" applyFill="1" applyAlignment="1">
      <alignment horizontal="left" vertical="center"/>
    </xf>
    <xf numFmtId="0" fontId="10" fillId="6" borderId="0" xfId="0" applyFont="1" applyFill="1" applyAlignment="1">
      <alignment horizontal="center"/>
    </xf>
    <xf numFmtId="0" fontId="10" fillId="6" borderId="0" xfId="0" applyFont="1" applyFill="1"/>
    <xf numFmtId="165" fontId="10" fillId="6" borderId="0" xfId="0" applyNumberFormat="1" applyFont="1" applyFill="1" applyAlignment="1">
      <alignment horizontal="center"/>
    </xf>
    <xf numFmtId="0" fontId="24" fillId="6" borderId="0" xfId="0" applyFont="1" applyFill="1" applyAlignment="1">
      <alignment horizontal="right"/>
    </xf>
    <xf numFmtId="167" fontId="24" fillId="6" borderId="0" xfId="0" applyNumberFormat="1" applyFont="1" applyFill="1" applyAlignment="1">
      <alignment horizontal="right"/>
    </xf>
    <xf numFmtId="165" fontId="25" fillId="0" borderId="5" xfId="0" applyNumberFormat="1" applyFont="1" applyBorder="1" applyAlignment="1">
      <alignment horizontal="center" vertical="center"/>
    </xf>
    <xf numFmtId="49" fontId="10" fillId="0" borderId="5" xfId="0" applyNumberFormat="1" applyFont="1" applyBorder="1" applyAlignment="1">
      <alignment horizontal="center"/>
    </xf>
    <xf numFmtId="49" fontId="18" fillId="5" borderId="5" xfId="0" applyNumberFormat="1" applyFont="1" applyFill="1" applyBorder="1" applyAlignment="1">
      <alignment horizontal="center"/>
    </xf>
    <xf numFmtId="0" fontId="18" fillId="5" borderId="5" xfId="0" applyFont="1" applyFill="1" applyBorder="1"/>
    <xf numFmtId="0" fontId="18" fillId="5" borderId="4" xfId="0" applyFont="1" applyFill="1" applyBorder="1"/>
    <xf numFmtId="165" fontId="18" fillId="5" borderId="4" xfId="0" applyNumberFormat="1" applyFont="1" applyFill="1" applyBorder="1" applyAlignment="1">
      <alignment horizontal="right"/>
    </xf>
    <xf numFmtId="49" fontId="18" fillId="2" borderId="5" xfId="0" applyNumberFormat="1" applyFont="1" applyFill="1" applyBorder="1" applyAlignment="1">
      <alignment horizontal="center"/>
    </xf>
    <xf numFmtId="0" fontId="18" fillId="2" borderId="5" xfId="0" applyFont="1" applyFill="1" applyBorder="1"/>
    <xf numFmtId="0" fontId="18" fillId="2" borderId="4" xfId="0" applyFont="1" applyFill="1" applyBorder="1"/>
    <xf numFmtId="165" fontId="18" fillId="2" borderId="4" xfId="0" applyNumberFormat="1" applyFont="1" applyFill="1" applyBorder="1" applyAlignment="1">
      <alignment horizontal="right"/>
    </xf>
    <xf numFmtId="165" fontId="18" fillId="2" borderId="5" xfId="0" applyNumberFormat="1" applyFont="1" applyFill="1" applyBorder="1" applyAlignment="1">
      <alignment horizontal="right"/>
    </xf>
    <xf numFmtId="0" fontId="23" fillId="0" borderId="0" xfId="0" applyFont="1" applyAlignment="1">
      <alignment horizontal="left" vertical="center"/>
    </xf>
    <xf numFmtId="49" fontId="10" fillId="0" borderId="5" xfId="0" applyNumberFormat="1" applyFont="1" applyBorder="1"/>
    <xf numFmtId="165" fontId="10" fillId="0" borderId="5" xfId="0" applyNumberFormat="1" applyFont="1" applyBorder="1" applyAlignment="1">
      <alignment horizontal="center"/>
    </xf>
    <xf numFmtId="0" fontId="10" fillId="0" borderId="5" xfId="0" applyFont="1" applyBorder="1" applyAlignment="1">
      <alignment horizontal="left"/>
    </xf>
    <xf numFmtId="167" fontId="24" fillId="0" borderId="0" xfId="0" applyNumberFormat="1" applyFont="1" applyAlignment="1">
      <alignment horizontal="left"/>
    </xf>
    <xf numFmtId="49" fontId="18" fillId="5" borderId="4" xfId="0" applyNumberFormat="1" applyFont="1" applyFill="1" applyBorder="1" applyAlignment="1">
      <alignment horizontal="center"/>
    </xf>
    <xf numFmtId="165" fontId="18" fillId="5" borderId="5" xfId="0" applyNumberFormat="1" applyFont="1" applyFill="1" applyBorder="1" applyAlignment="1">
      <alignment horizontal="right"/>
    </xf>
    <xf numFmtId="0" fontId="27" fillId="7" borderId="5" xfId="0" applyFont="1" applyFill="1" applyBorder="1" applyAlignment="1">
      <alignment horizontal="center"/>
    </xf>
    <xf numFmtId="0" fontId="10" fillId="0" borderId="0" xfId="0" applyFont="1" applyAlignment="1">
      <alignment horizontal="left"/>
    </xf>
    <xf numFmtId="0" fontId="10" fillId="0" borderId="0" xfId="0" applyFont="1" applyAlignment="1">
      <alignment horizontal="right"/>
    </xf>
    <xf numFmtId="0" fontId="28" fillId="0" borderId="5" xfId="0" applyFont="1" applyBorder="1" applyAlignment="1">
      <alignment horizontal="center" vertical="center"/>
    </xf>
    <xf numFmtId="49" fontId="29" fillId="0" borderId="5" xfId="0" applyNumberFormat="1" applyFont="1" applyBorder="1" applyAlignment="1">
      <alignment horizontal="center"/>
    </xf>
    <xf numFmtId="0" fontId="29" fillId="0" borderId="5" xfId="0" applyFont="1" applyBorder="1"/>
    <xf numFmtId="0" fontId="29" fillId="0" borderId="4" xfId="0" applyFont="1" applyBorder="1"/>
    <xf numFmtId="165" fontId="28" fillId="0" borderId="5" xfId="0" applyNumberFormat="1" applyFont="1" applyBorder="1" applyAlignment="1">
      <alignment horizontal="center"/>
    </xf>
    <xf numFmtId="0" fontId="28" fillId="0" borderId="5" xfId="0" applyFont="1" applyBorder="1"/>
    <xf numFmtId="0" fontId="28" fillId="0" borderId="5" xfId="0" applyFont="1" applyBorder="1" applyAlignment="1">
      <alignment horizontal="center"/>
    </xf>
    <xf numFmtId="0" fontId="29" fillId="0" borderId="5" xfId="0" applyFont="1" applyBorder="1" applyAlignment="1">
      <alignment horizontal="center"/>
    </xf>
    <xf numFmtId="49" fontId="29" fillId="0" borderId="6" xfId="0" applyNumberFormat="1" applyFont="1" applyBorder="1" applyAlignment="1">
      <alignment horizontal="center"/>
    </xf>
    <xf numFmtId="0" fontId="29" fillId="0" borderId="6" xfId="0" applyFont="1" applyBorder="1"/>
    <xf numFmtId="0" fontId="29" fillId="0" borderId="7" xfId="0" applyFont="1" applyBorder="1"/>
    <xf numFmtId="0" fontId="29" fillId="0" borderId="6" xfId="0" applyFont="1" applyBorder="1" applyAlignment="1">
      <alignment horizontal="center"/>
    </xf>
    <xf numFmtId="0" fontId="28" fillId="0" borderId="6" xfId="0" applyFont="1" applyBorder="1" applyAlignment="1">
      <alignment horizontal="center"/>
    </xf>
    <xf numFmtId="0" fontId="30" fillId="0" borderId="5" xfId="0" applyFont="1" applyBorder="1" applyAlignment="1">
      <alignment horizontal="center"/>
    </xf>
    <xf numFmtId="49" fontId="30" fillId="0" borderId="5" xfId="0" applyNumberFormat="1" applyFont="1" applyBorder="1" applyAlignment="1">
      <alignment horizontal="center"/>
    </xf>
    <xf numFmtId="165" fontId="30" fillId="0" borderId="5" xfId="0" applyNumberFormat="1" applyFont="1" applyBorder="1" applyAlignment="1">
      <alignment horizontal="center"/>
    </xf>
    <xf numFmtId="0" fontId="30" fillId="0" borderId="5" xfId="0" applyFont="1" applyBorder="1"/>
    <xf numFmtId="0" fontId="28" fillId="0" borderId="5" xfId="0" applyFont="1" applyBorder="1" applyAlignment="1">
      <alignment horizontal="left"/>
    </xf>
    <xf numFmtId="165" fontId="31" fillId="0" borderId="0" xfId="0" applyNumberFormat="1" applyFont="1" applyAlignment="1">
      <alignment horizontal="center" vertical="center"/>
    </xf>
    <xf numFmtId="0" fontId="15" fillId="8" borderId="5" xfId="0" applyFont="1" applyFill="1" applyBorder="1" applyAlignment="1">
      <alignment horizontal="center"/>
    </xf>
    <xf numFmtId="0" fontId="15" fillId="8" borderId="4" xfId="0" applyFont="1" applyFill="1" applyBorder="1" applyAlignment="1">
      <alignment horizontal="center"/>
    </xf>
    <xf numFmtId="0" fontId="32" fillId="9" borderId="5" xfId="0" applyFont="1" applyFill="1" applyBorder="1" applyAlignment="1">
      <alignment horizontal="center"/>
    </xf>
    <xf numFmtId="165" fontId="32" fillId="9" borderId="5" xfId="0" applyNumberFormat="1" applyFont="1" applyFill="1" applyBorder="1" applyAlignment="1">
      <alignment horizontal="center"/>
    </xf>
    <xf numFmtId="0" fontId="33" fillId="0" borderId="5" xfId="0" applyFont="1" applyBorder="1" applyAlignment="1">
      <alignment horizontal="center"/>
    </xf>
    <xf numFmtId="0" fontId="1" fillId="0" borderId="0" xfId="0" applyFont="1" applyAlignment="1">
      <alignment horizontal="center" vertical="center" wrapText="1"/>
    </xf>
    <xf numFmtId="0" fontId="0" fillId="0" borderId="0" xfId="0"/>
    <xf numFmtId="0" fontId="3" fillId="0" borderId="0" xfId="0" applyFont="1" applyAlignment="1">
      <alignment horizontal="center" vertical="center" wrapText="1"/>
    </xf>
    <xf numFmtId="0" fontId="7" fillId="0" borderId="0" xfId="0" applyFont="1" applyAlignment="1">
      <alignment vertical="center" wrapText="1"/>
    </xf>
    <xf numFmtId="165" fontId="9" fillId="0" borderId="0" xfId="0" applyNumberFormat="1" applyFont="1" applyAlignment="1">
      <alignment horizontal="center" vertical="center"/>
    </xf>
    <xf numFmtId="0" fontId="10" fillId="0" borderId="1" xfId="0" applyFont="1" applyBorder="1"/>
    <xf numFmtId="0" fontId="11" fillId="0" borderId="0" xfId="0" applyFont="1" applyAlignment="1">
      <alignment horizontal="center"/>
    </xf>
    <xf numFmtId="0" fontId="2" fillId="0" borderId="0" xfId="0" applyFont="1" applyAlignment="1">
      <alignment wrapText="1"/>
    </xf>
    <xf numFmtId="0" fontId="17" fillId="0" borderId="3" xfId="0" applyFont="1" applyBorder="1" applyAlignment="1">
      <alignment horizontal="center" vertical="center"/>
    </xf>
    <xf numFmtId="0" fontId="10" fillId="0" borderId="4" xfId="0" applyFont="1" applyBorder="1"/>
    <xf numFmtId="166" fontId="18" fillId="0" borderId="3" xfId="0" applyNumberFormat="1" applyFont="1" applyBorder="1" applyAlignment="1">
      <alignment horizontal="center"/>
    </xf>
    <xf numFmtId="166" fontId="18" fillId="4" borderId="3" xfId="0" applyNumberFormat="1" applyFont="1" applyFill="1" applyBorder="1"/>
    <xf numFmtId="0" fontId="14" fillId="0" borderId="3" xfId="0" applyFont="1" applyBorder="1" applyAlignment="1">
      <alignment horizontal="center" vertical="center"/>
    </xf>
    <xf numFmtId="0" fontId="10" fillId="0" borderId="9" xfId="0" applyFont="1" applyBorder="1"/>
    <xf numFmtId="0" fontId="18" fillId="0" borderId="8" xfId="0" applyFont="1" applyBorder="1" applyAlignment="1">
      <alignment horizontal="center" vertical="center"/>
    </xf>
    <xf numFmtId="0" fontId="10" fillId="0" borderId="8" xfId="0" applyFont="1" applyBorder="1"/>
    <xf numFmtId="0" fontId="10" fillId="0" borderId="6" xfId="0" applyFont="1" applyBorder="1"/>
    <xf numFmtId="165" fontId="22" fillId="0" borderId="0" xfId="0" applyNumberFormat="1" applyFont="1" applyAlignment="1">
      <alignment horizontal="center"/>
    </xf>
    <xf numFmtId="165" fontId="22" fillId="0" borderId="0" xfId="0" applyNumberFormat="1" applyFont="1" applyAlignment="1">
      <alignment horizontal="center" vertical="center"/>
    </xf>
    <xf numFmtId="0" fontId="20" fillId="0" borderId="0" xfId="0" applyFont="1" applyAlignment="1">
      <alignment horizontal="center" vertical="center"/>
    </xf>
    <xf numFmtId="0" fontId="10" fillId="0" borderId="3" xfId="0" applyFont="1" applyBorder="1" applyAlignment="1">
      <alignment horizontal="center" vertical="center" wrapText="1"/>
    </xf>
    <xf numFmtId="165" fontId="31" fillId="0" borderId="10" xfId="0" applyNumberFormat="1" applyFont="1" applyBorder="1" applyAlignment="1">
      <alignment horizontal="center" vertical="center"/>
    </xf>
    <xf numFmtId="0" fontId="10" fillId="0" borderId="11" xfId="0" applyFont="1" applyBorder="1"/>
    <xf numFmtId="0" fontId="10" fillId="0" borderId="12" xfId="0" applyFont="1" applyBorder="1"/>
    <xf numFmtId="0" fontId="10" fillId="0" borderId="13" xfId="0" applyFont="1" applyBorder="1"/>
    <xf numFmtId="0" fontId="10" fillId="0" borderId="14" xfId="0" applyFont="1" applyBorder="1"/>
    <xf numFmtId="0" fontId="10" fillId="0" borderId="7" xfId="0" applyFont="1" applyBorder="1"/>
    <xf numFmtId="49" fontId="10" fillId="10" borderId="5" xfId="0" applyNumberFormat="1" applyFont="1" applyFill="1" applyBorder="1" applyAlignment="1">
      <alignment horizontal="center"/>
    </xf>
    <xf numFmtId="0" fontId="10" fillId="10" borderId="5" xfId="0" applyFont="1" applyFill="1" applyBorder="1"/>
    <xf numFmtId="165" fontId="10" fillId="10" borderId="5" xfId="0" applyNumberFormat="1" applyFont="1" applyFill="1" applyBorder="1" applyAlignment="1">
      <alignment horizontal="right"/>
    </xf>
    <xf numFmtId="0" fontId="10" fillId="10" borderId="5" xfId="0" applyFont="1" applyFill="1" applyBorder="1" applyAlignment="1">
      <alignment horizontal="center"/>
    </xf>
    <xf numFmtId="0" fontId="10" fillId="10" borderId="5" xfId="0" applyFont="1" applyFill="1" applyBorder="1" applyAlignment="1">
      <alignment horizontal="center" vertical="center"/>
    </xf>
    <xf numFmtId="165" fontId="10" fillId="10" borderId="5" xfId="0" applyNumberFormat="1" applyFont="1" applyFill="1" applyBorder="1" applyAlignment="1">
      <alignment horizontal="center"/>
    </xf>
  </cellXfs>
  <cellStyles count="1">
    <cellStyle name="Normal" xfId="0" builtinId="0"/>
  </cellStyles>
  <dxfs count="38">
    <dxf>
      <fill>
        <patternFill patternType="solid">
          <fgColor rgb="FFF4C7C3"/>
          <bgColor rgb="FFF4C7C3"/>
        </patternFill>
      </fill>
    </dxf>
    <dxf>
      <fill>
        <patternFill patternType="solid">
          <fgColor rgb="FFF4C7C3"/>
          <bgColor rgb="FFF4C7C3"/>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12">
    <tableStyle name="AC-style" pivot="0" count="3" xr9:uid="{00000000-0011-0000-FFFF-FFFF00000000}">
      <tableStyleElement type="headerRow" dxfId="37"/>
      <tableStyleElement type="firstRowStripe" dxfId="36"/>
      <tableStyleElement type="secondRowStripe" dxfId="35"/>
    </tableStyle>
    <tableStyle name="ART-style" pivot="0" count="3" xr9:uid="{00000000-0011-0000-FFFF-FFFF01000000}">
      <tableStyleElement type="headerRow" dxfId="34"/>
      <tableStyleElement type="firstRowStripe" dxfId="33"/>
      <tableStyleElement type="secondRowStripe" dxfId="32"/>
    </tableStyle>
    <tableStyle name="AR-style" pivot="0" count="3" xr9:uid="{00000000-0011-0000-FFFF-FFFF02000000}">
      <tableStyleElement type="headerRow" dxfId="31"/>
      <tableStyleElement type="firstRowStripe" dxfId="30"/>
      <tableStyleElement type="secondRowStripe" dxfId="29"/>
    </tableStyle>
    <tableStyle name="AN-style" pivot="0" count="3" xr9:uid="{00000000-0011-0000-FFFF-FFFF03000000}">
      <tableStyleElement type="headerRow" dxfId="28"/>
      <tableStyleElement type="firstRowStripe" dxfId="27"/>
      <tableStyleElement type="secondRowStripe" dxfId="26"/>
    </tableStyle>
    <tableStyle name="AI-style" pivot="0" count="3" xr9:uid="{00000000-0011-0000-FFFF-FFFF04000000}">
      <tableStyleElement type="headerRow" dxfId="25"/>
      <tableStyleElement type="firstRowStripe" dxfId="24"/>
      <tableStyleElement type="secondRowStripe" dxfId="23"/>
    </tableStyle>
    <tableStyle name="JA1-style" pivot="0" count="3" xr9:uid="{00000000-0011-0000-FFFF-FFFF05000000}">
      <tableStyleElement type="headerRow" dxfId="22"/>
      <tableStyleElement type="firstRowStripe" dxfId="21"/>
      <tableStyleElement type="secondRowStripe" dxfId="20"/>
    </tableStyle>
    <tableStyle name="JA2-style" pivot="0" count="3" xr9:uid="{00000000-0011-0000-FFFF-FFFF06000000}">
      <tableStyleElement type="headerRow" dxfId="19"/>
      <tableStyleElement type="firstRowStripe" dxfId="18"/>
      <tableStyleElement type="secondRowStripe" dxfId="17"/>
    </tableStyle>
    <tableStyle name="JA3-style" pivot="0" count="3" xr9:uid="{00000000-0011-0000-FFFF-FFFF07000000}">
      <tableStyleElement type="headerRow" dxfId="16"/>
      <tableStyleElement type="firstRowStripe" dxfId="15"/>
      <tableStyleElement type="secondRowStripe" dxfId="14"/>
    </tableStyle>
    <tableStyle name="JAN-style" pivot="0" count="3" xr9:uid="{00000000-0011-0000-FFFF-FFFF08000000}">
      <tableStyleElement type="headerRow" dxfId="13"/>
      <tableStyleElement type="firstRowStripe" dxfId="12"/>
      <tableStyleElement type="secondRowStripe" dxfId="11"/>
    </tableStyle>
    <tableStyle name="JAI-style" pivot="0" count="3" xr9:uid="{00000000-0011-0000-FFFF-FFFF09000000}">
      <tableStyleElement type="headerRow" dxfId="10"/>
      <tableStyleElement type="firstRowStripe" dxfId="9"/>
      <tableStyleElement type="secondRowStripe" dxfId="8"/>
    </tableStyle>
    <tableStyle name="FO-style" pivot="0" count="3" xr9:uid="{00000000-0011-0000-FFFF-FFFF0A000000}">
      <tableStyleElement type="headerRow" dxfId="7"/>
      <tableStyleElement type="firstRowStripe" dxfId="6"/>
      <tableStyleElement type="secondRowStripe" dxfId="5"/>
    </tableStyle>
    <tableStyle name="Récapitulatif-style" pivot="0" count="3" xr9:uid="{00000000-0011-0000-FFFF-FFFF0B000000}">
      <tableStyleElement type="headerRow" dxfId="4"/>
      <tableStyleElement type="firstRowStripe" dxfId="3"/>
      <tableStyleElement type="secondRowStripe"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_rels/drawing3.xml.rels><?xml version="1.0" encoding="UTF-8" standalone="yes"?>
<Relationships xmlns="http://schemas.openxmlformats.org/package/2006/relationships"><Relationship Id="rId1" Type="http://schemas.openxmlformats.org/officeDocument/2006/relationships/image" Target="../media/image3.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drawing6.xml.rels><?xml version="1.0" encoding="UTF-8" standalone="yes"?>
<Relationships xmlns="http://schemas.openxmlformats.org/package/2006/relationships"><Relationship Id="rId1" Type="http://schemas.openxmlformats.org/officeDocument/2006/relationships/image" Target="../media/image3.jpg"/></Relationships>
</file>

<file path=xl/drawings/_rels/drawing7.xml.rels><?xml version="1.0" encoding="UTF-8" standalone="yes"?>
<Relationships xmlns="http://schemas.openxmlformats.org/package/2006/relationships"><Relationship Id="rId1" Type="http://schemas.openxmlformats.org/officeDocument/2006/relationships/image" Target="../media/image3.jpg"/></Relationships>
</file>

<file path=xl/drawings/_rels/drawing8.xml.rels><?xml version="1.0" encoding="UTF-8" standalone="yes"?>
<Relationships xmlns="http://schemas.openxmlformats.org/package/2006/relationships"><Relationship Id="rId1" Type="http://schemas.openxmlformats.org/officeDocument/2006/relationships/image" Target="../media/image3.jpg"/></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524000" cy="1295400"/>
    <xdr:pic>
      <xdr:nvPicPr>
        <xdr:cNvPr id="2" name="image3.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8191500</xdr:colOff>
      <xdr:row>0</xdr:row>
      <xdr:rowOff>0</xdr:rowOff>
    </xdr:from>
    <xdr:ext cx="1200150" cy="1200150"/>
    <xdr:pic>
      <xdr:nvPicPr>
        <xdr:cNvPr id="3" name="image2.jp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9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1.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A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2.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B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3.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C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14.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D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7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dr:oneCellAnchor>
    <xdr:from>
      <xdr:col>0</xdr:col>
      <xdr:colOff>0</xdr:colOff>
      <xdr:row>0</xdr:row>
      <xdr:rowOff>0</xdr:rowOff>
    </xdr:from>
    <xdr:ext cx="2324100" cy="781050"/>
    <xdr:pic>
      <xdr:nvPicPr>
        <xdr:cNvPr id="2" name="image1.jpg" title="Image">
          <a:extLst>
            <a:ext uri="{FF2B5EF4-FFF2-40B4-BE49-F238E27FC236}">
              <a16:creationId xmlns:a16="http://schemas.microsoft.com/office/drawing/2014/main" id="{00000000-0008-0000-08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2:H800">
  <tableColumns count="8">
    <tableColumn id="1" xr3:uid="{00000000-0010-0000-0000-000001000000}" name="N°"/>
    <tableColumn id="2" xr3:uid="{00000000-0010-0000-0000-000002000000}" name="N° Licence"/>
    <tableColumn id="3" xr3:uid="{00000000-0010-0000-0000-000003000000}" name="Nom"/>
    <tableColumn id="4" xr3:uid="{00000000-0010-0000-0000-000004000000}" name="Prénom"/>
    <tableColumn id="5" xr3:uid="{00000000-0010-0000-0000-000005000000}" name="N° club"/>
    <tableColumn id="6" xr3:uid="{00000000-0010-0000-0000-000006000000}" name="Club"/>
    <tableColumn id="7" xr3:uid="{00000000-0010-0000-0000-000007000000}" name="CD"/>
    <tableColumn id="8" xr3:uid="{00000000-0010-0000-0000-000008000000}" name="Activité"/>
  </tableColumns>
  <tableStyleInfo name="AC-style" showFirstColumn="1" showLastColumn="1"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_10" displayName="Table_10" ref="A12:H14">
  <tableColumns count="8">
    <tableColumn id="1" xr3:uid="{00000000-0010-0000-0900-000001000000}" name="N°"/>
    <tableColumn id="2" xr3:uid="{00000000-0010-0000-0900-000002000000}" name="N° Licence"/>
    <tableColumn id="3" xr3:uid="{00000000-0010-0000-0900-000003000000}" name="Nom"/>
    <tableColumn id="4" xr3:uid="{00000000-0010-0000-0900-000004000000}" name="Prénom"/>
    <tableColumn id="5" xr3:uid="{00000000-0010-0000-0900-000005000000}" name="N° club"/>
    <tableColumn id="6" xr3:uid="{00000000-0010-0000-0900-000006000000}" name="Club"/>
    <tableColumn id="7" xr3:uid="{00000000-0010-0000-0900-000007000000}" name="CD"/>
    <tableColumn id="8" xr3:uid="{00000000-0010-0000-0900-000008000000}" name="Activité"/>
  </tableColumns>
  <tableStyleInfo name="JAI-style" showFirstColumn="1" showLastColumn="1"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_11" displayName="Table_11" ref="A12:K33">
  <tableColumns count="11">
    <tableColumn id="1" xr3:uid="{00000000-0010-0000-0A00-000001000000}" name="N°"/>
    <tableColumn id="2" xr3:uid="{00000000-0010-0000-0A00-000002000000}" name="N° Licence"/>
    <tableColumn id="3" xr3:uid="{00000000-0010-0000-0A00-000003000000}" name="Nom"/>
    <tableColumn id="4" xr3:uid="{00000000-0010-0000-0A00-000004000000}" name="Prénom"/>
    <tableColumn id="5" xr3:uid="{00000000-0010-0000-0A00-000005000000}" name="N° club"/>
    <tableColumn id="6" xr3:uid="{00000000-0010-0000-0A00-000006000000}" name="Club"/>
    <tableColumn id="7" xr3:uid="{00000000-0010-0000-0A00-000007000000}" name="CD"/>
    <tableColumn id="8" xr3:uid="{00000000-0010-0000-0A00-000008000000}" name="Grade FO ARB / JA"/>
    <tableColumn id="9" xr3:uid="{00000000-0010-0000-0A00-000009000000}" name="Grade FO de FO"/>
    <tableColumn id="10" xr3:uid="{00000000-0010-0000-0A00-00000A000000}" name="Habilitation formation_x000a_ à distance"/>
    <tableColumn id="11" xr3:uid="{00000000-0010-0000-0A00-00000B000000}" name="Activité"/>
  </tableColumns>
  <tableStyleInfo name="FO-style" showFirstColumn="1" showLastColumn="1"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_12" displayName="Table_12" ref="A10:O346" headerRowCount="0">
  <tableColumns count="15">
    <tableColumn id="1" xr3:uid="{00000000-0010-0000-0B00-000001000000}" name="Column1"/>
    <tableColumn id="2" xr3:uid="{00000000-0010-0000-0B00-000002000000}" name="Column2"/>
    <tableColumn id="3" xr3:uid="{00000000-0010-0000-0B00-000003000000}" name="Column3"/>
    <tableColumn id="4" xr3:uid="{00000000-0010-0000-0B00-000004000000}" name="Column4"/>
    <tableColumn id="5" xr3:uid="{00000000-0010-0000-0B00-000005000000}" name="Column5"/>
    <tableColumn id="6" xr3:uid="{00000000-0010-0000-0B00-000006000000}" name="Column6"/>
    <tableColumn id="7" xr3:uid="{00000000-0010-0000-0B00-000007000000}" name="Column7"/>
    <tableColumn id="8" xr3:uid="{00000000-0010-0000-0B00-000008000000}" name="Column8"/>
    <tableColumn id="9" xr3:uid="{00000000-0010-0000-0B00-000009000000}" name="Column9"/>
    <tableColumn id="10" xr3:uid="{00000000-0010-0000-0B00-00000A000000}" name="Column10"/>
    <tableColumn id="11" xr3:uid="{00000000-0010-0000-0B00-00000B000000}" name="Column11"/>
    <tableColumn id="12" xr3:uid="{00000000-0010-0000-0B00-00000C000000}" name="Column12"/>
    <tableColumn id="13" xr3:uid="{00000000-0010-0000-0B00-00000D000000}" name="Column13"/>
    <tableColumn id="14" xr3:uid="{00000000-0010-0000-0B00-00000E000000}" name="Column14"/>
    <tableColumn id="15" xr3:uid="{00000000-0010-0000-0B00-00000F000000}" name="Column15"/>
  </tableColumns>
  <tableStyleInfo name="Récapitulatif-style" showFirstColumn="1" showLastColumn="1" showRowStripes="1" showColumnStripes="0"/>
  <extLst>
    <ext uri="GoogleSheetsCustomDataVersion1">
      <go:sheetsCustomData xmlns:go="http://customooxmlschemas.google.com/" headerRowCount="1"/>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2:H22">
  <tableColumns count="8">
    <tableColumn id="1" xr3:uid="{00000000-0010-0000-0100-000001000000}" name="N°"/>
    <tableColumn id="2" xr3:uid="{00000000-0010-0000-0100-000002000000}" name="N° Licence"/>
    <tableColumn id="3" xr3:uid="{00000000-0010-0000-0100-000003000000}" name="Nom"/>
    <tableColumn id="4" xr3:uid="{00000000-0010-0000-0100-000004000000}" name="Prénom"/>
    <tableColumn id="5" xr3:uid="{00000000-0010-0000-0100-000005000000}" name="N° club"/>
    <tableColumn id="6" xr3:uid="{00000000-0010-0000-0100-000006000000}" name="Club"/>
    <tableColumn id="7" xr3:uid="{00000000-0010-0000-0100-000007000000}" name="CD"/>
    <tableColumn id="8" xr3:uid="{00000000-0010-0000-0100-000008000000}" name="Activité"/>
  </tableColumns>
  <tableStyleInfo name="ART-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A12:H1499">
  <tableColumns count="8">
    <tableColumn id="1" xr3:uid="{00000000-0010-0000-0200-000001000000}" name="N°"/>
    <tableColumn id="2" xr3:uid="{00000000-0010-0000-0200-000002000000}" name="N° Licence"/>
    <tableColumn id="3" xr3:uid="{00000000-0010-0000-0200-000003000000}" name="Nom"/>
    <tableColumn id="4" xr3:uid="{00000000-0010-0000-0200-000004000000}" name="Prénom"/>
    <tableColumn id="5" xr3:uid="{00000000-0010-0000-0200-000005000000}" name="N° club"/>
    <tableColumn id="6" xr3:uid="{00000000-0010-0000-0200-000006000000}" name="Club"/>
    <tableColumn id="7" xr3:uid="{00000000-0010-0000-0200-000007000000}" name="CD"/>
    <tableColumn id="8" xr3:uid="{00000000-0010-0000-0200-000008000000}" name="Activité"/>
  </tableColumns>
  <tableStyleInfo name="AR-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A12:H33">
  <tableColumns count="8">
    <tableColumn id="1" xr3:uid="{00000000-0010-0000-0300-000001000000}" name="N°"/>
    <tableColumn id="2" xr3:uid="{00000000-0010-0000-0300-000002000000}" name="N° Licence"/>
    <tableColumn id="3" xr3:uid="{00000000-0010-0000-0300-000003000000}" name="Nom"/>
    <tableColumn id="4" xr3:uid="{00000000-0010-0000-0300-000004000000}" name="Prénom"/>
    <tableColumn id="5" xr3:uid="{00000000-0010-0000-0300-000005000000}" name="N° club"/>
    <tableColumn id="6" xr3:uid="{00000000-0010-0000-0300-000006000000}" name="Club"/>
    <tableColumn id="7" xr3:uid="{00000000-0010-0000-0300-000007000000}" name="CD"/>
    <tableColumn id="8" xr3:uid="{00000000-0010-0000-0300-000008000000}" name="Activité"/>
  </tableColumns>
  <tableStyleInfo name="AN-style" showFirstColumn="1" showLastColumn="1"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_5" displayName="Table_5" ref="A12:H18">
  <tableColumns count="8">
    <tableColumn id="1" xr3:uid="{00000000-0010-0000-0400-000001000000}" name="N°"/>
    <tableColumn id="2" xr3:uid="{00000000-0010-0000-0400-000002000000}" name="N° Licence"/>
    <tableColumn id="3" xr3:uid="{00000000-0010-0000-0400-000003000000}" name="Nom"/>
    <tableColumn id="4" xr3:uid="{00000000-0010-0000-0400-000004000000}" name="Prénom"/>
    <tableColumn id="5" xr3:uid="{00000000-0010-0000-0400-000005000000}" name="N° club"/>
    <tableColumn id="6" xr3:uid="{00000000-0010-0000-0400-000006000000}" name="Club"/>
    <tableColumn id="7" xr3:uid="{00000000-0010-0000-0400-000007000000}" name="CD"/>
    <tableColumn id="8" xr3:uid="{00000000-0010-0000-0400-000008000000}" name="Activité"/>
  </tableColumns>
  <tableStyleInfo name="AI-style" showFirstColumn="1" showLastColumn="1"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_6" displayName="Table_6" ref="A12:H1499">
  <tableColumns count="8">
    <tableColumn id="1" xr3:uid="{00000000-0010-0000-0500-000001000000}" name="N°"/>
    <tableColumn id="2" xr3:uid="{00000000-0010-0000-0500-000002000000}" name="N° Licence"/>
    <tableColumn id="3" xr3:uid="{00000000-0010-0000-0500-000003000000}" name="Nom"/>
    <tableColumn id="4" xr3:uid="{00000000-0010-0000-0500-000004000000}" name="Prénom"/>
    <tableColumn id="5" xr3:uid="{00000000-0010-0000-0500-000005000000}" name="N° club"/>
    <tableColumn id="6" xr3:uid="{00000000-0010-0000-0500-000006000000}" name="Club"/>
    <tableColumn id="7" xr3:uid="{00000000-0010-0000-0500-000007000000}" name="CD"/>
    <tableColumn id="8" xr3:uid="{00000000-0010-0000-0500-000008000000}" name="Activité"/>
  </tableColumns>
  <tableStyleInfo name="JA1-style" showFirstColumn="1" showLastColumn="1"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_7" displayName="Table_7" ref="A12:H99">
  <tableColumns count="8">
    <tableColumn id="1" xr3:uid="{00000000-0010-0000-0600-000001000000}" name="N°"/>
    <tableColumn id="2" xr3:uid="{00000000-0010-0000-0600-000002000000}" name="N° Licence"/>
    <tableColumn id="3" xr3:uid="{00000000-0010-0000-0600-000003000000}" name="Nom"/>
    <tableColumn id="4" xr3:uid="{00000000-0010-0000-0600-000004000000}" name="Prénom"/>
    <tableColumn id="5" xr3:uid="{00000000-0010-0000-0600-000005000000}" name="N° club"/>
    <tableColumn id="6" xr3:uid="{00000000-0010-0000-0600-000006000000}" name="Club"/>
    <tableColumn id="7" xr3:uid="{00000000-0010-0000-0600-000007000000}" name="CD"/>
    <tableColumn id="8" xr3:uid="{00000000-0010-0000-0600-000008000000}" name="Activité"/>
  </tableColumns>
  <tableStyleInfo name="JA2-style" showFirstColumn="1" showLastColumn="1"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_8" displayName="Table_8" ref="A12:H46">
  <tableColumns count="8">
    <tableColumn id="1" xr3:uid="{00000000-0010-0000-0700-000001000000}" name="N°"/>
    <tableColumn id="2" xr3:uid="{00000000-0010-0000-0700-000002000000}" name="N° Licence"/>
    <tableColumn id="3" xr3:uid="{00000000-0010-0000-0700-000003000000}" name="Nom"/>
    <tableColumn id="4" xr3:uid="{00000000-0010-0000-0700-000004000000}" name="Prénom"/>
    <tableColumn id="5" xr3:uid="{00000000-0010-0000-0700-000005000000}" name="N° club"/>
    <tableColumn id="6" xr3:uid="{00000000-0010-0000-0700-000006000000}" name="Club"/>
    <tableColumn id="7" xr3:uid="{00000000-0010-0000-0700-000007000000}" name="CD"/>
    <tableColumn id="8" xr3:uid="{00000000-0010-0000-0700-000008000000}" name="Activité"/>
  </tableColumns>
  <tableStyleInfo name="JA3-style" showFirstColumn="1" showLastColumn="1"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_9" displayName="Table_9" ref="A12:H14">
  <tableColumns count="8">
    <tableColumn id="1" xr3:uid="{00000000-0010-0000-0800-000001000000}" name="N°"/>
    <tableColumn id="2" xr3:uid="{00000000-0010-0000-0800-000002000000}" name="N° Licence"/>
    <tableColumn id="3" xr3:uid="{00000000-0010-0000-0800-000003000000}" name="Nom"/>
    <tableColumn id="4" xr3:uid="{00000000-0010-0000-0800-000004000000}" name="Prénom"/>
    <tableColumn id="5" xr3:uid="{00000000-0010-0000-0800-000005000000}" name="N° club"/>
    <tableColumn id="6" xr3:uid="{00000000-0010-0000-0800-000006000000}" name="Club"/>
    <tableColumn id="7" xr3:uid="{00000000-0010-0000-0800-000007000000}" name="CD"/>
    <tableColumn id="8" xr3:uid="{00000000-0010-0000-0800-000008000000}" name="Activité"/>
  </tableColumns>
  <tableStyleInfo name="JAN-style" showFirstColumn="1" showLastColumn="1"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0"/>
  <sheetViews>
    <sheetView workbookViewId="0">
      <selection sqref="A1:A2"/>
    </sheetView>
  </sheetViews>
  <sheetFormatPr baseColWidth="10" defaultColWidth="12.5703125" defaultRowHeight="15.75" customHeight="1"/>
  <cols>
    <col min="1" max="1" width="123.7109375" customWidth="1"/>
    <col min="6" max="6" width="16.42578125" customWidth="1"/>
  </cols>
  <sheetData>
    <row r="1" spans="1:26" ht="18" customHeight="1">
      <c r="A1" s="109" t="s">
        <v>0</v>
      </c>
      <c r="B1" s="1"/>
      <c r="C1" s="1"/>
      <c r="D1" s="1"/>
      <c r="E1" s="1"/>
      <c r="F1" s="1"/>
      <c r="G1" s="1"/>
      <c r="H1" s="1"/>
      <c r="I1" s="1"/>
      <c r="J1" s="1"/>
      <c r="K1" s="1"/>
      <c r="L1" s="1"/>
      <c r="M1" s="1"/>
      <c r="N1" s="1"/>
      <c r="O1" s="1"/>
      <c r="P1" s="1"/>
      <c r="Q1" s="1"/>
      <c r="R1" s="1"/>
      <c r="S1" s="1"/>
      <c r="T1" s="1"/>
      <c r="U1" s="1"/>
      <c r="V1" s="1"/>
      <c r="W1" s="1"/>
      <c r="X1" s="1"/>
      <c r="Y1" s="1"/>
      <c r="Z1" s="1"/>
    </row>
    <row r="2" spans="1:26" ht="15">
      <c r="A2" s="110"/>
      <c r="B2" s="1"/>
      <c r="C2" s="1"/>
      <c r="D2" s="1"/>
      <c r="E2" s="1"/>
      <c r="F2" s="1"/>
      <c r="G2" s="1"/>
      <c r="H2" s="1"/>
      <c r="I2" s="1"/>
      <c r="J2" s="1"/>
      <c r="K2" s="1"/>
      <c r="L2" s="1"/>
      <c r="M2" s="1"/>
      <c r="N2" s="1"/>
      <c r="O2" s="1"/>
      <c r="P2" s="1"/>
      <c r="Q2" s="1"/>
      <c r="R2" s="1"/>
      <c r="S2" s="1"/>
      <c r="T2" s="1"/>
      <c r="U2" s="1"/>
      <c r="V2" s="1"/>
      <c r="W2" s="1"/>
      <c r="X2" s="1"/>
      <c r="Y2" s="1"/>
      <c r="Z2" s="1"/>
    </row>
    <row r="3" spans="1:26" ht="23.25">
      <c r="A3" s="2"/>
      <c r="B3" s="1"/>
      <c r="C3" s="1"/>
      <c r="D3" s="1"/>
      <c r="E3" s="1"/>
      <c r="F3" s="1"/>
      <c r="G3" s="1"/>
      <c r="H3" s="1"/>
      <c r="I3" s="1"/>
      <c r="J3" s="1"/>
      <c r="K3" s="1"/>
      <c r="L3" s="1"/>
      <c r="M3" s="1"/>
      <c r="N3" s="1"/>
      <c r="O3" s="1"/>
      <c r="P3" s="1"/>
      <c r="Q3" s="1"/>
      <c r="R3" s="1"/>
      <c r="S3" s="1"/>
      <c r="T3" s="1"/>
      <c r="U3" s="1"/>
      <c r="V3" s="1"/>
      <c r="W3" s="1"/>
      <c r="X3" s="1"/>
      <c r="Y3" s="1"/>
      <c r="Z3" s="1"/>
    </row>
    <row r="4" spans="1:26" ht="15">
      <c r="A4" s="111" t="s">
        <v>1</v>
      </c>
      <c r="B4" s="1"/>
      <c r="C4" s="1"/>
      <c r="D4" s="1"/>
      <c r="E4" s="1"/>
      <c r="F4" s="1"/>
      <c r="G4" s="1"/>
      <c r="H4" s="1"/>
      <c r="I4" s="1"/>
      <c r="J4" s="1"/>
      <c r="K4" s="1"/>
      <c r="L4" s="1"/>
      <c r="M4" s="1"/>
      <c r="N4" s="1"/>
      <c r="O4" s="1"/>
      <c r="P4" s="1"/>
      <c r="Q4" s="1"/>
      <c r="R4" s="1"/>
      <c r="S4" s="1"/>
      <c r="T4" s="1"/>
      <c r="U4" s="1"/>
      <c r="V4" s="1"/>
      <c r="W4" s="1"/>
      <c r="X4" s="1"/>
      <c r="Y4" s="1"/>
      <c r="Z4" s="1"/>
    </row>
    <row r="5" spans="1:26" ht="15">
      <c r="A5" s="110"/>
      <c r="B5" s="1"/>
      <c r="C5" s="1"/>
      <c r="D5" s="1"/>
      <c r="E5" s="1"/>
      <c r="F5" s="1"/>
      <c r="G5" s="1"/>
      <c r="H5" s="1"/>
      <c r="I5" s="1"/>
      <c r="J5" s="1"/>
      <c r="K5" s="1"/>
      <c r="L5" s="1"/>
      <c r="M5" s="1"/>
      <c r="N5" s="1"/>
      <c r="O5" s="1"/>
      <c r="P5" s="1"/>
      <c r="Q5" s="1"/>
      <c r="R5" s="1"/>
      <c r="S5" s="1"/>
      <c r="T5" s="1"/>
      <c r="U5" s="1"/>
      <c r="V5" s="1"/>
      <c r="W5" s="1"/>
      <c r="X5" s="1"/>
      <c r="Y5" s="1"/>
      <c r="Z5" s="1"/>
    </row>
    <row r="6" spans="1:26" ht="23.25">
      <c r="A6" s="2"/>
      <c r="B6" s="1"/>
      <c r="C6" s="1"/>
      <c r="D6" s="1"/>
      <c r="E6" s="1"/>
      <c r="F6" s="1"/>
      <c r="G6" s="1"/>
      <c r="H6" s="1"/>
      <c r="I6" s="1"/>
      <c r="J6" s="1"/>
      <c r="K6" s="1"/>
      <c r="L6" s="1"/>
      <c r="M6" s="1"/>
      <c r="N6" s="1"/>
      <c r="O6" s="1"/>
      <c r="P6" s="1"/>
      <c r="Q6" s="1"/>
      <c r="R6" s="1"/>
      <c r="S6" s="1"/>
      <c r="T6" s="1"/>
      <c r="U6" s="1"/>
      <c r="V6" s="1"/>
      <c r="W6" s="1"/>
      <c r="X6" s="1"/>
      <c r="Y6" s="1"/>
      <c r="Z6" s="1"/>
    </row>
    <row r="7" spans="1:26" ht="18">
      <c r="A7" s="3" t="s">
        <v>2</v>
      </c>
      <c r="B7" s="1"/>
      <c r="C7" s="1"/>
      <c r="D7" s="1"/>
      <c r="E7" s="1"/>
      <c r="F7" s="1"/>
      <c r="G7" s="1"/>
      <c r="H7" s="1"/>
      <c r="I7" s="1"/>
      <c r="J7" s="1"/>
      <c r="K7" s="1"/>
      <c r="L7" s="1"/>
      <c r="M7" s="1"/>
      <c r="N7" s="1"/>
      <c r="O7" s="1"/>
      <c r="P7" s="1"/>
      <c r="Q7" s="1"/>
      <c r="R7" s="1"/>
      <c r="S7" s="1"/>
      <c r="T7" s="1"/>
      <c r="U7" s="1"/>
      <c r="V7" s="1"/>
      <c r="W7" s="1"/>
      <c r="X7" s="1"/>
      <c r="Y7" s="1"/>
      <c r="Z7" s="1"/>
    </row>
    <row r="8" spans="1:26" ht="15">
      <c r="A8" s="4" t="s">
        <v>3</v>
      </c>
      <c r="B8" s="1"/>
      <c r="C8" s="1"/>
      <c r="D8" s="1"/>
      <c r="E8" s="1"/>
      <c r="F8" s="5"/>
      <c r="G8" s="1"/>
      <c r="H8" s="1"/>
      <c r="I8" s="1"/>
      <c r="J8" s="1"/>
      <c r="K8" s="1"/>
      <c r="L8" s="1"/>
      <c r="M8" s="1"/>
      <c r="N8" s="1"/>
      <c r="O8" s="1"/>
      <c r="P8" s="1"/>
      <c r="Q8" s="1"/>
      <c r="R8" s="1"/>
      <c r="S8" s="1"/>
      <c r="T8" s="1"/>
      <c r="U8" s="1"/>
      <c r="V8" s="1"/>
      <c r="W8" s="1"/>
      <c r="X8" s="1"/>
      <c r="Y8" s="1"/>
      <c r="Z8" s="1"/>
    </row>
    <row r="9" spans="1:26" ht="15">
      <c r="A9" s="6"/>
      <c r="B9" s="1"/>
      <c r="C9" s="1"/>
      <c r="D9" s="1"/>
      <c r="E9" s="1"/>
      <c r="F9" s="1"/>
      <c r="G9" s="1"/>
      <c r="H9" s="1"/>
      <c r="I9" s="1"/>
      <c r="J9" s="1"/>
      <c r="K9" s="1"/>
      <c r="L9" s="1"/>
      <c r="M9" s="1"/>
      <c r="N9" s="1"/>
      <c r="O9" s="1"/>
      <c r="P9" s="1"/>
      <c r="Q9" s="1"/>
      <c r="R9" s="1"/>
      <c r="S9" s="1"/>
      <c r="T9" s="1"/>
      <c r="U9" s="1"/>
      <c r="V9" s="1"/>
      <c r="W9" s="1"/>
      <c r="X9" s="1"/>
      <c r="Y9" s="1"/>
      <c r="Z9" s="1"/>
    </row>
    <row r="10" spans="1:26">
      <c r="A10" s="7" t="s">
        <v>4</v>
      </c>
      <c r="B10" s="1"/>
      <c r="C10" s="1"/>
      <c r="D10" s="1"/>
      <c r="E10" s="1"/>
      <c r="F10" s="1"/>
      <c r="G10" s="1"/>
      <c r="H10" s="1"/>
      <c r="I10" s="1"/>
      <c r="J10" s="1"/>
      <c r="K10" s="1"/>
      <c r="L10" s="1"/>
      <c r="M10" s="1"/>
      <c r="N10" s="1"/>
      <c r="O10" s="1"/>
      <c r="P10" s="1"/>
      <c r="Q10" s="1"/>
      <c r="R10" s="1"/>
      <c r="S10" s="1"/>
      <c r="T10" s="1"/>
      <c r="U10" s="1"/>
      <c r="V10" s="1"/>
      <c r="W10" s="1"/>
      <c r="X10" s="1"/>
      <c r="Y10" s="1"/>
      <c r="Z10" s="1"/>
    </row>
    <row r="11" spans="1:26" ht="15">
      <c r="A11" s="6"/>
      <c r="B11" s="1"/>
      <c r="C11" s="1"/>
      <c r="D11" s="1"/>
      <c r="E11" s="1"/>
      <c r="F11" s="1"/>
      <c r="G11" s="1"/>
      <c r="H11" s="1"/>
      <c r="I11" s="1"/>
      <c r="J11" s="1"/>
      <c r="K11" s="1"/>
      <c r="L11" s="1"/>
      <c r="M11" s="1"/>
      <c r="N11" s="1"/>
      <c r="O11" s="1"/>
      <c r="P11" s="1"/>
      <c r="Q11" s="1"/>
      <c r="R11" s="1"/>
      <c r="S11" s="1"/>
      <c r="T11" s="1"/>
      <c r="U11" s="1"/>
      <c r="V11" s="1"/>
      <c r="W11" s="1"/>
      <c r="X11" s="1"/>
      <c r="Y11" s="1"/>
      <c r="Z11" s="1"/>
    </row>
    <row r="12" spans="1:26" ht="15">
      <c r="A12" s="112" t="s">
        <v>5</v>
      </c>
      <c r="B12" s="1"/>
      <c r="C12" s="1"/>
      <c r="D12" s="1"/>
      <c r="E12" s="1"/>
      <c r="F12" s="1"/>
      <c r="G12" s="1"/>
      <c r="H12" s="1"/>
      <c r="I12" s="1"/>
      <c r="J12" s="1"/>
      <c r="K12" s="1"/>
      <c r="L12" s="1"/>
      <c r="M12" s="1"/>
      <c r="N12" s="1"/>
      <c r="O12" s="1"/>
      <c r="P12" s="1"/>
      <c r="Q12" s="1"/>
      <c r="R12" s="1"/>
      <c r="S12" s="1"/>
      <c r="T12" s="1"/>
      <c r="U12" s="1"/>
      <c r="V12" s="1"/>
      <c r="W12" s="1"/>
      <c r="X12" s="1"/>
      <c r="Y12" s="1"/>
      <c r="Z12" s="1"/>
    </row>
    <row r="13" spans="1:26" ht="15">
      <c r="A13" s="110"/>
      <c r="B13" s="1"/>
      <c r="C13" s="1"/>
      <c r="D13" s="1"/>
      <c r="E13" s="1"/>
      <c r="F13" s="1"/>
      <c r="G13" s="1"/>
      <c r="H13" s="1"/>
      <c r="I13" s="1"/>
      <c r="J13" s="1"/>
      <c r="K13" s="1"/>
      <c r="L13" s="1"/>
      <c r="M13" s="1"/>
      <c r="N13" s="1"/>
      <c r="O13" s="1"/>
      <c r="P13" s="1"/>
      <c r="Q13" s="1"/>
      <c r="R13" s="1"/>
      <c r="S13" s="1"/>
      <c r="T13" s="1"/>
      <c r="U13" s="1"/>
      <c r="V13" s="1"/>
      <c r="W13" s="1"/>
      <c r="X13" s="1"/>
      <c r="Y13" s="1"/>
      <c r="Z13" s="1"/>
    </row>
    <row r="14" spans="1:26" ht="15">
      <c r="A14" s="110"/>
      <c r="B14" s="1"/>
      <c r="C14" s="1"/>
      <c r="D14" s="1"/>
      <c r="E14" s="1"/>
      <c r="F14" s="1"/>
      <c r="G14" s="1"/>
      <c r="H14" s="1"/>
      <c r="I14" s="1"/>
      <c r="J14" s="1"/>
      <c r="K14" s="1"/>
      <c r="L14" s="1"/>
      <c r="M14" s="1"/>
      <c r="N14" s="1"/>
      <c r="O14" s="1"/>
      <c r="P14" s="1"/>
      <c r="Q14" s="1"/>
      <c r="R14" s="1"/>
      <c r="S14" s="1"/>
      <c r="T14" s="1"/>
      <c r="U14" s="1"/>
      <c r="V14" s="1"/>
      <c r="W14" s="1"/>
      <c r="X14" s="1"/>
      <c r="Y14" s="1"/>
      <c r="Z14" s="1"/>
    </row>
    <row r="15" spans="1:26" ht="15">
      <c r="A15" s="110"/>
      <c r="B15" s="1"/>
      <c r="C15" s="1"/>
      <c r="D15" s="1"/>
      <c r="E15" s="1"/>
      <c r="F15" s="1"/>
      <c r="G15" s="1"/>
      <c r="H15" s="1"/>
      <c r="I15" s="1"/>
      <c r="J15" s="1"/>
      <c r="K15" s="1"/>
      <c r="L15" s="1"/>
      <c r="M15" s="1"/>
      <c r="N15" s="1"/>
      <c r="O15" s="1"/>
      <c r="P15" s="1"/>
      <c r="Q15" s="1"/>
      <c r="R15" s="1"/>
      <c r="S15" s="1"/>
      <c r="T15" s="1"/>
      <c r="U15" s="1"/>
      <c r="V15" s="1"/>
      <c r="W15" s="1"/>
      <c r="X15" s="1"/>
      <c r="Y15" s="1"/>
      <c r="Z15" s="1"/>
    </row>
    <row r="16" spans="1:26" ht="15">
      <c r="A16" s="110"/>
      <c r="B16" s="1"/>
      <c r="C16" s="1"/>
      <c r="D16" s="1"/>
      <c r="E16" s="1"/>
      <c r="F16" s="1"/>
      <c r="G16" s="1"/>
      <c r="H16" s="1"/>
      <c r="I16" s="1"/>
      <c r="J16" s="1"/>
      <c r="K16" s="1"/>
      <c r="L16" s="1"/>
      <c r="M16" s="1"/>
      <c r="N16" s="1"/>
      <c r="O16" s="1"/>
      <c r="P16" s="1"/>
      <c r="Q16" s="1"/>
      <c r="R16" s="1"/>
      <c r="S16" s="1"/>
      <c r="T16" s="1"/>
      <c r="U16" s="1"/>
      <c r="V16" s="1"/>
      <c r="W16" s="1"/>
      <c r="X16" s="1"/>
      <c r="Y16" s="1"/>
      <c r="Z16" s="1"/>
    </row>
    <row r="17" spans="1:26" ht="15">
      <c r="A17" s="110"/>
      <c r="B17" s="1"/>
      <c r="C17" s="1"/>
      <c r="D17" s="1"/>
      <c r="E17" s="1"/>
      <c r="F17" s="1"/>
      <c r="G17" s="1"/>
      <c r="H17" s="1"/>
      <c r="I17" s="1"/>
      <c r="J17" s="1"/>
      <c r="K17" s="1"/>
      <c r="L17" s="1"/>
      <c r="M17" s="1"/>
      <c r="N17" s="1"/>
      <c r="O17" s="1"/>
      <c r="P17" s="1"/>
      <c r="Q17" s="1"/>
      <c r="R17" s="1"/>
      <c r="S17" s="1"/>
      <c r="T17" s="1"/>
      <c r="U17" s="1"/>
      <c r="V17" s="1"/>
      <c r="W17" s="1"/>
      <c r="X17" s="1"/>
      <c r="Y17" s="1"/>
      <c r="Z17" s="1"/>
    </row>
    <row r="18" spans="1:26" ht="15">
      <c r="A18" s="110"/>
      <c r="B18" s="1"/>
      <c r="C18" s="1"/>
      <c r="D18" s="1"/>
      <c r="E18" s="1"/>
      <c r="F18" s="1"/>
      <c r="G18" s="1"/>
      <c r="H18" s="1"/>
      <c r="I18" s="1"/>
      <c r="J18" s="1"/>
      <c r="K18" s="1"/>
      <c r="L18" s="1"/>
      <c r="M18" s="1"/>
      <c r="N18" s="1"/>
      <c r="O18" s="1"/>
      <c r="P18" s="1"/>
      <c r="Q18" s="1"/>
      <c r="R18" s="1"/>
      <c r="S18" s="1"/>
      <c r="T18" s="1"/>
      <c r="U18" s="1"/>
      <c r="V18" s="1"/>
      <c r="W18" s="1"/>
      <c r="X18" s="1"/>
      <c r="Y18" s="1"/>
      <c r="Z18" s="1"/>
    </row>
    <row r="19" spans="1:26" ht="15">
      <c r="A19" s="110"/>
      <c r="B19" s="1"/>
      <c r="C19" s="1"/>
      <c r="D19" s="1"/>
      <c r="E19" s="1"/>
      <c r="F19" s="1"/>
      <c r="G19" s="1"/>
      <c r="H19" s="1"/>
      <c r="I19" s="1"/>
      <c r="J19" s="1"/>
      <c r="K19" s="1"/>
      <c r="L19" s="1"/>
      <c r="M19" s="1"/>
      <c r="N19" s="1"/>
      <c r="O19" s="1"/>
      <c r="P19" s="1"/>
      <c r="Q19" s="1"/>
      <c r="R19" s="1"/>
      <c r="S19" s="1"/>
      <c r="T19" s="1"/>
      <c r="U19" s="1"/>
      <c r="V19" s="1"/>
      <c r="W19" s="1"/>
      <c r="X19" s="1"/>
      <c r="Y19" s="1"/>
      <c r="Z19" s="1"/>
    </row>
    <row r="20" spans="1:26" ht="23.25">
      <c r="A20" s="2"/>
      <c r="B20" s="1"/>
      <c r="C20" s="1"/>
      <c r="D20" s="1"/>
      <c r="E20" s="1"/>
      <c r="F20" s="1"/>
      <c r="G20" s="1"/>
      <c r="H20" s="1"/>
      <c r="I20" s="1"/>
      <c r="J20" s="1"/>
      <c r="K20" s="1"/>
      <c r="L20" s="1"/>
      <c r="M20" s="1"/>
      <c r="N20" s="1"/>
      <c r="O20" s="1"/>
      <c r="P20" s="1"/>
      <c r="Q20" s="1"/>
      <c r="R20" s="1"/>
      <c r="S20" s="1"/>
      <c r="T20" s="1"/>
      <c r="U20" s="1"/>
      <c r="V20" s="1"/>
      <c r="W20" s="1"/>
      <c r="X20" s="1"/>
      <c r="Y20" s="1"/>
      <c r="Z20" s="1"/>
    </row>
    <row r="21" spans="1:26" ht="23.25">
      <c r="A21" s="2"/>
      <c r="B21" s="1"/>
      <c r="C21" s="1"/>
      <c r="D21" s="1"/>
      <c r="E21" s="1"/>
      <c r="F21" s="1"/>
      <c r="G21" s="1"/>
      <c r="H21" s="1"/>
      <c r="I21" s="1"/>
      <c r="J21" s="1"/>
      <c r="K21" s="1"/>
      <c r="L21" s="1"/>
      <c r="M21" s="1"/>
      <c r="N21" s="1"/>
      <c r="O21" s="1"/>
      <c r="P21" s="1"/>
      <c r="Q21" s="1"/>
      <c r="R21" s="1"/>
      <c r="S21" s="1"/>
      <c r="T21" s="1"/>
      <c r="U21" s="1"/>
      <c r="V21" s="1"/>
      <c r="W21" s="1"/>
      <c r="X21" s="1"/>
      <c r="Y21" s="1"/>
      <c r="Z21" s="1"/>
    </row>
    <row r="22" spans="1:26" ht="18">
      <c r="A22" s="3" t="s">
        <v>6</v>
      </c>
      <c r="B22" s="1"/>
      <c r="C22" s="1"/>
      <c r="D22" s="1"/>
      <c r="E22" s="1"/>
      <c r="F22" s="1"/>
      <c r="G22" s="1"/>
      <c r="H22" s="1"/>
      <c r="I22" s="1"/>
      <c r="J22" s="1"/>
      <c r="K22" s="1"/>
      <c r="L22" s="1"/>
      <c r="M22" s="1"/>
      <c r="N22" s="1"/>
      <c r="O22" s="1"/>
      <c r="P22" s="1"/>
      <c r="Q22" s="1"/>
      <c r="R22" s="1"/>
      <c r="S22" s="1"/>
      <c r="T22" s="1"/>
      <c r="U22" s="1"/>
      <c r="V22" s="1"/>
      <c r="W22" s="1"/>
      <c r="X22" s="1"/>
      <c r="Y22" s="1"/>
      <c r="Z22" s="1"/>
    </row>
    <row r="23" spans="1:26" ht="15">
      <c r="A23" s="4" t="s">
        <v>7</v>
      </c>
      <c r="B23" s="1"/>
      <c r="C23" s="1"/>
      <c r="D23" s="1"/>
      <c r="E23" s="1"/>
      <c r="F23" s="1"/>
      <c r="G23" s="1"/>
      <c r="H23" s="1"/>
      <c r="I23" s="1"/>
      <c r="J23" s="1"/>
      <c r="K23" s="1"/>
      <c r="L23" s="1"/>
      <c r="M23" s="1"/>
      <c r="N23" s="1"/>
      <c r="O23" s="1"/>
      <c r="P23" s="1"/>
      <c r="Q23" s="1"/>
      <c r="R23" s="1"/>
      <c r="S23" s="1"/>
      <c r="T23" s="1"/>
      <c r="U23" s="1"/>
      <c r="V23" s="1"/>
      <c r="W23" s="1"/>
      <c r="X23" s="1"/>
      <c r="Y23" s="1"/>
      <c r="Z23" s="1"/>
    </row>
    <row r="24" spans="1:26" ht="15">
      <c r="A24" s="6"/>
      <c r="B24" s="1"/>
      <c r="C24" s="1"/>
      <c r="D24" s="1"/>
      <c r="E24" s="1"/>
      <c r="F24" s="1"/>
      <c r="G24" s="1"/>
      <c r="H24" s="1"/>
      <c r="I24" s="1"/>
      <c r="J24" s="1"/>
      <c r="K24" s="1"/>
      <c r="L24" s="1"/>
      <c r="M24" s="1"/>
      <c r="N24" s="1"/>
      <c r="O24" s="1"/>
      <c r="P24" s="1"/>
      <c r="Q24" s="1"/>
      <c r="R24" s="1"/>
      <c r="S24" s="1"/>
      <c r="T24" s="1"/>
      <c r="U24" s="1"/>
      <c r="V24" s="1"/>
      <c r="W24" s="1"/>
      <c r="X24" s="1"/>
      <c r="Y24" s="1"/>
      <c r="Z24" s="1"/>
    </row>
    <row r="25" spans="1:26">
      <c r="A25" s="7" t="s">
        <v>8</v>
      </c>
      <c r="B25" s="1"/>
      <c r="C25" s="1"/>
      <c r="D25" s="1"/>
      <c r="E25" s="1"/>
      <c r="F25" s="1"/>
      <c r="G25" s="1"/>
      <c r="H25" s="1"/>
      <c r="I25" s="1"/>
      <c r="J25" s="1"/>
      <c r="K25" s="1"/>
      <c r="L25" s="1"/>
      <c r="M25" s="1"/>
      <c r="N25" s="1"/>
      <c r="O25" s="1"/>
      <c r="P25" s="1"/>
      <c r="Q25" s="1"/>
      <c r="R25" s="1"/>
      <c r="S25" s="1"/>
      <c r="T25" s="1"/>
      <c r="U25" s="1"/>
      <c r="V25" s="1"/>
      <c r="W25" s="1"/>
      <c r="X25" s="1"/>
      <c r="Y25" s="1"/>
      <c r="Z25" s="1"/>
    </row>
    <row r="26" spans="1:26" ht="15">
      <c r="A26" s="6"/>
      <c r="B26" s="1"/>
      <c r="C26" s="1"/>
      <c r="D26" s="1"/>
      <c r="E26" s="1"/>
      <c r="F26" s="1"/>
      <c r="G26" s="1"/>
      <c r="H26" s="1"/>
      <c r="I26" s="1"/>
      <c r="J26" s="1"/>
      <c r="K26" s="1"/>
      <c r="L26" s="1"/>
      <c r="M26" s="1"/>
      <c r="N26" s="1"/>
      <c r="O26" s="1"/>
      <c r="P26" s="1"/>
      <c r="Q26" s="1"/>
      <c r="R26" s="1"/>
      <c r="S26" s="1"/>
      <c r="T26" s="1"/>
      <c r="U26" s="1"/>
      <c r="V26" s="1"/>
      <c r="W26" s="1"/>
      <c r="X26" s="1"/>
      <c r="Y26" s="1"/>
      <c r="Z26" s="1"/>
    </row>
    <row r="27" spans="1:26" ht="15">
      <c r="A27" s="112" t="s">
        <v>9</v>
      </c>
      <c r="B27" s="1"/>
      <c r="C27" s="1"/>
      <c r="D27" s="1"/>
      <c r="E27" s="1"/>
      <c r="F27" s="1"/>
      <c r="G27" s="1"/>
      <c r="H27" s="1"/>
      <c r="I27" s="1"/>
      <c r="J27" s="1"/>
      <c r="K27" s="1"/>
      <c r="L27" s="1"/>
      <c r="M27" s="1"/>
      <c r="N27" s="1"/>
      <c r="O27" s="1"/>
      <c r="P27" s="1"/>
      <c r="Q27" s="1"/>
      <c r="R27" s="1"/>
      <c r="S27" s="1"/>
      <c r="T27" s="1"/>
      <c r="U27" s="1"/>
      <c r="V27" s="1"/>
      <c r="W27" s="1"/>
      <c r="X27" s="1"/>
      <c r="Y27" s="1"/>
      <c r="Z27" s="1"/>
    </row>
    <row r="28" spans="1:26" ht="15">
      <c r="A28" s="110"/>
      <c r="B28" s="1"/>
      <c r="C28" s="1"/>
      <c r="D28" s="1"/>
      <c r="E28" s="1"/>
      <c r="F28" s="1"/>
      <c r="G28" s="1"/>
      <c r="H28" s="1"/>
      <c r="I28" s="1"/>
      <c r="J28" s="1"/>
      <c r="K28" s="1"/>
      <c r="L28" s="1"/>
      <c r="M28" s="1"/>
      <c r="N28" s="1"/>
      <c r="O28" s="1"/>
      <c r="P28" s="1"/>
      <c r="Q28" s="1"/>
      <c r="R28" s="1"/>
      <c r="S28" s="1"/>
      <c r="T28" s="1"/>
      <c r="U28" s="1"/>
      <c r="V28" s="1"/>
      <c r="W28" s="1"/>
      <c r="X28" s="1"/>
      <c r="Y28" s="1"/>
      <c r="Z28" s="1"/>
    </row>
    <row r="29" spans="1:26" ht="15">
      <c r="A29" s="110"/>
      <c r="B29" s="1"/>
      <c r="C29" s="1"/>
      <c r="D29" s="1"/>
      <c r="E29" s="1"/>
      <c r="F29" s="1"/>
      <c r="G29" s="1"/>
      <c r="H29" s="1"/>
      <c r="I29" s="1"/>
      <c r="J29" s="1"/>
      <c r="K29" s="1"/>
      <c r="L29" s="1"/>
      <c r="M29" s="1"/>
      <c r="N29" s="1"/>
      <c r="O29" s="1"/>
      <c r="P29" s="1"/>
      <c r="Q29" s="1"/>
      <c r="R29" s="1"/>
      <c r="S29" s="1"/>
      <c r="T29" s="1"/>
      <c r="U29" s="1"/>
      <c r="V29" s="1"/>
      <c r="W29" s="1"/>
      <c r="X29" s="1"/>
      <c r="Y29" s="1"/>
      <c r="Z29" s="1"/>
    </row>
    <row r="30" spans="1:26" ht="1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1:26" ht="15">
      <c r="A1009" s="1"/>
      <c r="B1009" s="1"/>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1:26" ht="15">
      <c r="A1010" s="1"/>
      <c r="B1010" s="1"/>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sheetData>
  <mergeCells count="4">
    <mergeCell ref="A1:A2"/>
    <mergeCell ref="A4:A5"/>
    <mergeCell ref="A12:A19"/>
    <mergeCell ref="A27:A29"/>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H99"/>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2" width="15.28515625" customWidth="1"/>
    <col min="3" max="3" width="20.42578125" customWidth="1"/>
    <col min="4" max="4" width="19.5703125" customWidth="1"/>
    <col min="5" max="5" width="8" hidden="1" customWidth="1"/>
    <col min="6" max="6" width="32.42578125" customWidth="1"/>
    <col min="7" max="7" width="8.7109375" customWidth="1"/>
    <col min="8" max="8" width="23.42578125" customWidth="1"/>
  </cols>
  <sheetData>
    <row r="1" spans="1:8" ht="12" customHeight="1">
      <c r="A1" s="34"/>
      <c r="B1" s="34"/>
      <c r="C1" s="34"/>
      <c r="D1" s="34"/>
      <c r="E1" s="34"/>
      <c r="F1" s="126" t="s">
        <v>10</v>
      </c>
      <c r="G1" s="110"/>
      <c r="H1" s="110"/>
    </row>
    <row r="2" spans="1:8" ht="12" customHeight="1">
      <c r="A2" s="34"/>
      <c r="B2" s="34"/>
      <c r="C2" s="34"/>
      <c r="D2" s="34"/>
      <c r="E2" s="34"/>
      <c r="F2" s="114"/>
      <c r="G2" s="114"/>
      <c r="H2" s="114"/>
    </row>
    <row r="3" spans="1:8" ht="12" customHeight="1">
      <c r="A3" s="34"/>
      <c r="B3" s="34"/>
      <c r="C3" s="34"/>
      <c r="D3" s="34"/>
      <c r="E3" s="34"/>
      <c r="F3" s="127" t="s">
        <v>11</v>
      </c>
      <c r="G3" s="110"/>
      <c r="H3" s="110"/>
    </row>
    <row r="4" spans="1:8" ht="12" customHeight="1">
      <c r="A4" s="34"/>
      <c r="B4" s="34"/>
      <c r="C4" s="34"/>
      <c r="D4" s="34"/>
      <c r="E4" s="34"/>
      <c r="F4" s="110"/>
      <c r="G4" s="110"/>
      <c r="H4" s="110"/>
    </row>
    <row r="5" spans="1:8" ht="23.25">
      <c r="A5" s="34"/>
      <c r="B5" s="34"/>
      <c r="C5" s="34"/>
      <c r="D5" s="34"/>
      <c r="E5" s="34"/>
      <c r="F5" s="34"/>
      <c r="G5" s="34"/>
      <c r="H5" s="34"/>
    </row>
    <row r="6" spans="1:8" ht="23.25">
      <c r="A6" s="128" t="s">
        <v>106</v>
      </c>
      <c r="B6" s="110"/>
      <c r="C6" s="110"/>
      <c r="D6" s="110"/>
      <c r="E6" s="110"/>
      <c r="F6" s="110"/>
      <c r="G6" s="110"/>
      <c r="H6" s="110"/>
    </row>
    <row r="7" spans="1:8" ht="12.75">
      <c r="A7" s="36"/>
      <c r="E7" s="38"/>
      <c r="G7" s="38"/>
    </row>
    <row r="8" spans="1:8" ht="33" customHeight="1">
      <c r="A8" s="129" t="s">
        <v>107</v>
      </c>
      <c r="B8" s="122"/>
      <c r="C8" s="122"/>
      <c r="D8" s="122"/>
      <c r="E8" s="122"/>
      <c r="F8" s="122"/>
      <c r="G8" s="122"/>
      <c r="H8" s="118"/>
    </row>
    <row r="9" spans="1:8" ht="12.75">
      <c r="A9" s="36"/>
      <c r="E9" s="38"/>
      <c r="G9" s="38"/>
    </row>
    <row r="10" spans="1:8" ht="12.75">
      <c r="A10" s="39">
        <f ca="1">IFERROR(__xludf.DUMMYFUNCTION("IMPORTRANGE(""1qeeFCJCFKucGS14M4JpkDHd4OgBncP16-nnB1TgVYa4"",""JA3!A10"")"),30)</f>
        <v>30</v>
      </c>
      <c r="B10" s="40" t="s">
        <v>108</v>
      </c>
      <c r="E10" s="38"/>
      <c r="F10" s="41"/>
      <c r="G10" s="79"/>
      <c r="H10" s="41" t="s">
        <v>79</v>
      </c>
    </row>
    <row r="11" spans="1:8" ht="12.75">
      <c r="A11" s="36"/>
      <c r="E11" s="38"/>
      <c r="F11" s="41"/>
      <c r="G11" s="43"/>
      <c r="H11" s="43"/>
    </row>
    <row r="12" spans="1:8">
      <c r="A12" s="44" t="s">
        <v>80</v>
      </c>
      <c r="B12" s="45" t="s">
        <v>81</v>
      </c>
      <c r="C12" s="44" t="s">
        <v>82</v>
      </c>
      <c r="D12" s="44" t="s">
        <v>83</v>
      </c>
      <c r="E12" s="44" t="s">
        <v>84</v>
      </c>
      <c r="F12" s="44" t="s">
        <v>85</v>
      </c>
      <c r="G12" s="44" t="s">
        <v>86</v>
      </c>
      <c r="H12" s="44" t="s">
        <v>87</v>
      </c>
    </row>
    <row r="13" spans="1:8" ht="12.75">
      <c r="A13" s="46">
        <f ca="1">IFERROR(__xludf.DUMMYFUNCTION("IMPORTRANGE(""1qeeFCJCFKucGS14M4JpkDHd4OgBncP16-nnB1TgVYa4"",""JA3!A13:G1500"")"),1)</f>
        <v>1</v>
      </c>
      <c r="B13" s="65" t="str">
        <f ca="1">IFERROR(__xludf.DUMMYFUNCTION("""COMPUTED_VALUE"""),"5725")</f>
        <v>5725</v>
      </c>
      <c r="C13" s="48" t="str">
        <f ca="1">IFERROR(__xludf.DUMMYFUNCTION("""COMPUTED_VALUE"""),"BLANCHARD")</f>
        <v>BLANCHARD</v>
      </c>
      <c r="D13" s="48" t="str">
        <f ca="1">IFERROR(__xludf.DUMMYFUNCTION("""COMPUTED_VALUE"""),"Pierre")</f>
        <v>Pierre</v>
      </c>
      <c r="E13" s="49" t="str">
        <f ca="1">IFERROR(__xludf.DUMMYFUNCTION("""COMPUTED_VALUE"""),"06570005")</f>
        <v>06570005</v>
      </c>
      <c r="F13" s="48" t="str">
        <f ca="1">IFERROR(__xludf.DUMMYFUNCTION("""COMPUTED_VALUE"""),"FAULQUEMONT E.S.C.")</f>
        <v>FAULQUEMONT E.S.C.</v>
      </c>
      <c r="G13" s="50" t="str">
        <f ca="1">IFERROR(__xludf.DUMMYFUNCTION("""COMPUTED_VALUE"""),"CD57")</f>
        <v>CD57</v>
      </c>
      <c r="H13" s="50" t="str">
        <f ca="1">IFERROR(__xludf.DUMMYFUNCTION("IMPORTRANGE(""1qeeFCJCFKucGS14M4JpkDHd4OgBncP16-nnB1TgVYa4"",""JA3!I13:I1500"")"),"actif")</f>
        <v>actif</v>
      </c>
    </row>
    <row r="14" spans="1:8" ht="12.75">
      <c r="A14" s="46">
        <f ca="1">IFERROR(__xludf.DUMMYFUNCTION("""COMPUTED_VALUE"""),2)</f>
        <v>2</v>
      </c>
      <c r="B14" s="65" t="str">
        <f ca="1">IFERROR(__xludf.DUMMYFUNCTION("""COMPUTED_VALUE"""),"102618")</f>
        <v>102618</v>
      </c>
      <c r="C14" s="48" t="str">
        <f ca="1">IFERROR(__xludf.DUMMYFUNCTION("""COMPUTED_VALUE"""),"BRUN")</f>
        <v>BRUN</v>
      </c>
      <c r="D14" s="48" t="str">
        <f ca="1">IFERROR(__xludf.DUMMYFUNCTION("""COMPUTED_VALUE"""),"Franck")</f>
        <v>Franck</v>
      </c>
      <c r="E14" s="49" t="str">
        <f ca="1">IFERROR(__xludf.DUMMYFUNCTION("""COMPUTED_VALUE"""),"06100048")</f>
        <v>06100048</v>
      </c>
      <c r="F14" s="48" t="str">
        <f ca="1">IFERROR(__xludf.DUMMYFUNCTION("""COMPUTED_VALUE"""),"BAR SUR AUBE Tennis de Table")</f>
        <v>BAR SUR AUBE Tennis de Table</v>
      </c>
      <c r="G14" s="50" t="str">
        <f ca="1">IFERROR(__xludf.DUMMYFUNCTION("""COMPUTED_VALUE"""),"CD10")</f>
        <v>CD10</v>
      </c>
      <c r="H14" s="50" t="str">
        <f ca="1">IFERROR(__xludf.DUMMYFUNCTION("""COMPUTED_VALUE"""),"actif")</f>
        <v>actif</v>
      </c>
    </row>
    <row r="15" spans="1:8" ht="12.75">
      <c r="A15" s="46">
        <f ca="1">IFERROR(__xludf.DUMMYFUNCTION("""COMPUTED_VALUE"""),3)</f>
        <v>3</v>
      </c>
      <c r="B15" s="65" t="str">
        <f ca="1">IFERROR(__xludf.DUMMYFUNCTION("""COMPUTED_VALUE"""),"5715239")</f>
        <v>5715239</v>
      </c>
      <c r="C15" s="48" t="str">
        <f ca="1">IFERROR(__xludf.DUMMYFUNCTION("""COMPUTED_VALUE"""),"BUZEAU")</f>
        <v>BUZEAU</v>
      </c>
      <c r="D15" s="48" t="str">
        <f ca="1">IFERROR(__xludf.DUMMYFUNCTION("""COMPUTED_VALUE"""),"Violaine")</f>
        <v>Violaine</v>
      </c>
      <c r="E15" s="49" t="str">
        <f ca="1">IFERROR(__xludf.DUMMYFUNCTION("""COMPUTED_VALUE"""),"06570073")</f>
        <v>06570073</v>
      </c>
      <c r="F15" s="48" t="str">
        <f ca="1">IFERROR(__xludf.DUMMYFUNCTION("""COMPUTED_VALUE"""),"TERVILLE Tennis de Table")</f>
        <v>TERVILLE Tennis de Table</v>
      </c>
      <c r="G15" s="50" t="str">
        <f ca="1">IFERROR(__xludf.DUMMYFUNCTION("""COMPUTED_VALUE"""),"CD57")</f>
        <v>CD57</v>
      </c>
      <c r="H15" s="50" t="str">
        <f ca="1">IFERROR(__xludf.DUMMYFUNCTION("""COMPUTED_VALUE"""),"actif")</f>
        <v>actif</v>
      </c>
    </row>
    <row r="16" spans="1:8" ht="12.75">
      <c r="A16" s="46">
        <f ca="1">IFERROR(__xludf.DUMMYFUNCTION("""COMPUTED_VALUE"""),4)</f>
        <v>4</v>
      </c>
      <c r="B16" s="65" t="str">
        <f ca="1">IFERROR(__xludf.DUMMYFUNCTION("""COMPUTED_VALUE"""),"548807")</f>
        <v>548807</v>
      </c>
      <c r="C16" s="48" t="str">
        <f ca="1">IFERROR(__xludf.DUMMYFUNCTION("""COMPUTED_VALUE"""),"CHRISTAL")</f>
        <v>CHRISTAL</v>
      </c>
      <c r="D16" s="48" t="str">
        <f ca="1">IFERROR(__xludf.DUMMYFUNCTION("""COMPUTED_VALUE"""),"Regis")</f>
        <v>Regis</v>
      </c>
      <c r="E16" s="49" t="str">
        <f ca="1">IFERROR(__xludf.DUMMYFUNCTION("""COMPUTED_VALUE"""),"06540088")</f>
        <v>06540088</v>
      </c>
      <c r="F16" s="48" t="str">
        <f ca="1">IFERROR(__xludf.DUMMYFUNCTION("""COMPUTED_VALUE"""),"CHANTEHEUX TT")</f>
        <v>CHANTEHEUX TT</v>
      </c>
      <c r="G16" s="50" t="str">
        <f ca="1">IFERROR(__xludf.DUMMYFUNCTION("""COMPUTED_VALUE"""),"CD54")</f>
        <v>CD54</v>
      </c>
      <c r="H16" s="50" t="str">
        <f ca="1">IFERROR(__xludf.DUMMYFUNCTION("""COMPUTED_VALUE"""),"actif")</f>
        <v>actif</v>
      </c>
    </row>
    <row r="17" spans="1:8" ht="12.75">
      <c r="A17" s="46">
        <f ca="1">IFERROR(__xludf.DUMMYFUNCTION("""COMPUTED_VALUE"""),5)</f>
        <v>5</v>
      </c>
      <c r="B17" s="65" t="str">
        <f ca="1">IFERROR(__xludf.DUMMYFUNCTION("""COMPUTED_VALUE"""),"106456")</f>
        <v>106456</v>
      </c>
      <c r="C17" s="48" t="str">
        <f ca="1">IFERROR(__xludf.DUMMYFUNCTION("""COMPUTED_VALUE"""),"COUSIN")</f>
        <v>COUSIN</v>
      </c>
      <c r="D17" s="48" t="str">
        <f ca="1">IFERROR(__xludf.DUMMYFUNCTION("""COMPUTED_VALUE"""),"Pierre-Alexandre")</f>
        <v>Pierre-Alexandre</v>
      </c>
      <c r="E17" s="49" t="str">
        <f ca="1">IFERROR(__xludf.DUMMYFUNCTION("""COMPUTED_VALUE"""),"06100002")</f>
        <v>06100002</v>
      </c>
      <c r="F17" s="48" t="str">
        <f ca="1">IFERROR(__xludf.DUMMYFUNCTION("""COMPUTED_VALUE"""),"TROYES O.S - NOËS TT")</f>
        <v>TROYES O.S - NOËS TT</v>
      </c>
      <c r="G17" s="50" t="str">
        <f ca="1">IFERROR(__xludf.DUMMYFUNCTION("""COMPUTED_VALUE"""),"CD10")</f>
        <v>CD10</v>
      </c>
      <c r="H17" s="50" t="str">
        <f ca="1">IFERROR(__xludf.DUMMYFUNCTION("""COMPUTED_VALUE"""),"actif")</f>
        <v>actif</v>
      </c>
    </row>
    <row r="18" spans="1:8" ht="12.75">
      <c r="A18" s="46">
        <f ca="1">IFERROR(__xludf.DUMMYFUNCTION("""COMPUTED_VALUE"""),6)</f>
        <v>6</v>
      </c>
      <c r="B18" s="65" t="str">
        <f ca="1">IFERROR(__xludf.DUMMYFUNCTION("""COMPUTED_VALUE"""),"5417956")</f>
        <v>5417956</v>
      </c>
      <c r="C18" s="48" t="str">
        <f ca="1">IFERROR(__xludf.DUMMYFUNCTION("""COMPUTED_VALUE"""),"DEPARDIEU")</f>
        <v>DEPARDIEU</v>
      </c>
      <c r="D18" s="48" t="str">
        <f ca="1">IFERROR(__xludf.DUMMYFUNCTION("""COMPUTED_VALUE"""),"Jean Marie")</f>
        <v>Jean Marie</v>
      </c>
      <c r="E18" s="49" t="str">
        <f ca="1">IFERROR(__xludf.DUMMYFUNCTION("""COMPUTED_VALUE"""),"06540198")</f>
        <v>06540198</v>
      </c>
      <c r="F18" s="48" t="str">
        <f ca="1">IFERROR(__xludf.DUMMYFUNCTION("""COMPUTED_VALUE"""),"VANDOEUVRE ASTT")</f>
        <v>VANDOEUVRE ASTT</v>
      </c>
      <c r="G18" s="50" t="str">
        <f ca="1">IFERROR(__xludf.DUMMYFUNCTION("""COMPUTED_VALUE"""),"CD54")</f>
        <v>CD54</v>
      </c>
      <c r="H18" s="50" t="str">
        <f ca="1">IFERROR(__xludf.DUMMYFUNCTION("""COMPUTED_VALUE"""),"actif")</f>
        <v>actif</v>
      </c>
    </row>
    <row r="19" spans="1:8" ht="12.75">
      <c r="A19" s="46">
        <f ca="1">IFERROR(__xludf.DUMMYFUNCTION("""COMPUTED_VALUE"""),7)</f>
        <v>7</v>
      </c>
      <c r="B19" s="65" t="str">
        <f ca="1">IFERROR(__xludf.DUMMYFUNCTION("""COMPUTED_VALUE"""),"084535")</f>
        <v>084535</v>
      </c>
      <c r="C19" s="48" t="str">
        <f ca="1">IFERROR(__xludf.DUMMYFUNCTION("""COMPUTED_VALUE"""),"DUSSART")</f>
        <v>DUSSART</v>
      </c>
      <c r="D19" s="48" t="str">
        <f ca="1">IFERROR(__xludf.DUMMYFUNCTION("""COMPUTED_VALUE"""),"Aurore")</f>
        <v>Aurore</v>
      </c>
      <c r="E19" s="49" t="str">
        <f ca="1">IFERROR(__xludf.DUMMYFUNCTION("""COMPUTED_VALUE"""),"06540040")</f>
        <v>06540040</v>
      </c>
      <c r="F19" s="48" t="str">
        <f ca="1">IFERROR(__xludf.DUMMYFUNCTION("""COMPUTED_VALUE"""),"VILLERS LES NANCY C.O.S.")</f>
        <v>VILLERS LES NANCY C.O.S.</v>
      </c>
      <c r="G19" s="50" t="str">
        <f ca="1">IFERROR(__xludf.DUMMYFUNCTION("""COMPUTED_VALUE"""),"CD54")</f>
        <v>CD54</v>
      </c>
      <c r="H19" s="50" t="str">
        <f ca="1">IFERROR(__xludf.DUMMYFUNCTION("""COMPUTED_VALUE"""),"actif")</f>
        <v>actif</v>
      </c>
    </row>
    <row r="20" spans="1:8" ht="12.75">
      <c r="A20" s="46">
        <f ca="1">IFERROR(__xludf.DUMMYFUNCTION("""COMPUTED_VALUE"""),8)</f>
        <v>8</v>
      </c>
      <c r="B20" s="65" t="str">
        <f ca="1">IFERROR(__xludf.DUMMYFUNCTION("""COMPUTED_VALUE"""),"671825")</f>
        <v>671825</v>
      </c>
      <c r="C20" s="48" t="str">
        <f ca="1">IFERROR(__xludf.DUMMYFUNCTION("""COMPUTED_VALUE"""),"FRIANT")</f>
        <v>FRIANT</v>
      </c>
      <c r="D20" s="48" t="str">
        <f ca="1">IFERROR(__xludf.DUMMYFUNCTION("""COMPUTED_VALUE"""),"Marc")</f>
        <v>Marc</v>
      </c>
      <c r="E20" s="49" t="str">
        <f ca="1">IFERROR(__xludf.DUMMYFUNCTION("""COMPUTED_VALUE"""),"06670246")</f>
        <v>06670246</v>
      </c>
      <c r="F20" s="48" t="str">
        <f ca="1">IFERROR(__xludf.DUMMYFUNCTION("""COMPUTED_VALUE"""),"GRIESHEIM DINGSHEIM TT")</f>
        <v>GRIESHEIM DINGSHEIM TT</v>
      </c>
      <c r="G20" s="50" t="str">
        <f ca="1">IFERROR(__xludf.DUMMYFUNCTION("""COMPUTED_VALUE"""),"CD67")</f>
        <v>CD67</v>
      </c>
      <c r="H20" s="50" t="str">
        <f ca="1">IFERROR(__xludf.DUMMYFUNCTION("""COMPUTED_VALUE"""),"actif")</f>
        <v>actif</v>
      </c>
    </row>
    <row r="21" spans="1:8" ht="12.75">
      <c r="A21" s="46">
        <f ca="1">IFERROR(__xludf.DUMMYFUNCTION("""COMPUTED_VALUE"""),9)</f>
        <v>9</v>
      </c>
      <c r="B21" s="65" t="str">
        <f ca="1">IFERROR(__xludf.DUMMYFUNCTION("""COMPUTED_VALUE"""),"551338")</f>
        <v>551338</v>
      </c>
      <c r="C21" s="48" t="str">
        <f ca="1">IFERROR(__xludf.DUMMYFUNCTION("""COMPUTED_VALUE"""),"GERMAIN")</f>
        <v>GERMAIN</v>
      </c>
      <c r="D21" s="48" t="str">
        <f ca="1">IFERROR(__xludf.DUMMYFUNCTION("""COMPUTED_VALUE"""),"Catherine")</f>
        <v>Catherine</v>
      </c>
      <c r="E21" s="49" t="str">
        <f ca="1">IFERROR(__xludf.DUMMYFUNCTION("""COMPUTED_VALUE"""),"06550020")</f>
        <v>06550020</v>
      </c>
      <c r="F21" s="48" t="str">
        <f ca="1">IFERROR(__xludf.DUMMYFUNCTION("""COMPUTED_VALUE"""),"FAINS LES SOURCES AEL")</f>
        <v>FAINS LES SOURCES AEL</v>
      </c>
      <c r="G21" s="50" t="str">
        <f ca="1">IFERROR(__xludf.DUMMYFUNCTION("""COMPUTED_VALUE"""),"CD55")</f>
        <v>CD55</v>
      </c>
      <c r="H21" s="50" t="str">
        <f ca="1">IFERROR(__xludf.DUMMYFUNCTION("""COMPUTED_VALUE"""),"actif")</f>
        <v>actif</v>
      </c>
    </row>
    <row r="22" spans="1:8" ht="12.75">
      <c r="A22" s="46">
        <f ca="1">IFERROR(__xludf.DUMMYFUNCTION("""COMPUTED_VALUE"""),10)</f>
        <v>10</v>
      </c>
      <c r="B22" s="65" t="str">
        <f ca="1">IFERROR(__xludf.DUMMYFUNCTION("""COMPUTED_VALUE"""),"516753")</f>
        <v>516753</v>
      </c>
      <c r="C22" s="48" t="str">
        <f ca="1">IFERROR(__xludf.DUMMYFUNCTION("""COMPUTED_VALUE"""),"GIORIA")</f>
        <v>GIORIA</v>
      </c>
      <c r="D22" s="48" t="str">
        <f ca="1">IFERROR(__xludf.DUMMYFUNCTION("""COMPUTED_VALUE"""),"Julien")</f>
        <v>Julien</v>
      </c>
      <c r="E22" s="49" t="str">
        <f ca="1">IFERROR(__xludf.DUMMYFUNCTION("""COMPUTED_VALUE"""),"06510110")</f>
        <v>06510110</v>
      </c>
      <c r="F22" s="48" t="str">
        <f ca="1">IFERROR(__xludf.DUMMYFUNCTION("""COMPUTED_VALUE"""),"CHEPY ASCJ")</f>
        <v>CHEPY ASCJ</v>
      </c>
      <c r="G22" s="50" t="str">
        <f ca="1">IFERROR(__xludf.DUMMYFUNCTION("""COMPUTED_VALUE"""),"CD51")</f>
        <v>CD51</v>
      </c>
      <c r="H22" s="50" t="str">
        <f ca="1">IFERROR(__xludf.DUMMYFUNCTION("""COMPUTED_VALUE"""),"actif")</f>
        <v>actif</v>
      </c>
    </row>
    <row r="23" spans="1:8" ht="12.75">
      <c r="A23" s="46">
        <f ca="1">IFERROR(__xludf.DUMMYFUNCTION("""COMPUTED_VALUE"""),11)</f>
        <v>11</v>
      </c>
      <c r="B23" s="65" t="str">
        <f ca="1">IFERROR(__xludf.DUMMYFUNCTION("""COMPUTED_VALUE"""),"523924")</f>
        <v>523924</v>
      </c>
      <c r="C23" s="48" t="str">
        <f ca="1">IFERROR(__xludf.DUMMYFUNCTION("""COMPUTED_VALUE"""),"GIRAULT")</f>
        <v>GIRAULT</v>
      </c>
      <c r="D23" s="48" t="str">
        <f ca="1">IFERROR(__xludf.DUMMYFUNCTION("""COMPUTED_VALUE"""),"Germain")</f>
        <v>Germain</v>
      </c>
      <c r="E23" s="49" t="str">
        <f ca="1">IFERROR(__xludf.DUMMYFUNCTION("""COMPUTED_VALUE"""),"06100007")</f>
        <v>06100007</v>
      </c>
      <c r="F23" s="48" t="str">
        <f ca="1">IFERROR(__xludf.DUMMYFUNCTION("""COMPUTED_VALUE"""),"ST PARRES AUX TERTRES AST")</f>
        <v>ST PARRES AUX TERTRES AST</v>
      </c>
      <c r="G23" s="50" t="str">
        <f ca="1">IFERROR(__xludf.DUMMYFUNCTION("""COMPUTED_VALUE"""),"CD10")</f>
        <v>CD10</v>
      </c>
      <c r="H23" s="50" t="str">
        <f ca="1">IFERROR(__xludf.DUMMYFUNCTION("""COMPUTED_VALUE"""),"actif")</f>
        <v>actif</v>
      </c>
    </row>
    <row r="24" spans="1:8" ht="12.75">
      <c r="A24" s="46">
        <f ca="1">IFERROR(__xludf.DUMMYFUNCTION("""COMPUTED_VALUE"""),12)</f>
        <v>12</v>
      </c>
      <c r="B24" s="65" t="str">
        <f ca="1">IFERROR(__xludf.DUMMYFUNCTION("""COMPUTED_VALUE"""),"51107")</f>
        <v>51107</v>
      </c>
      <c r="C24" s="48" t="str">
        <f ca="1">IFERROR(__xludf.DUMMYFUNCTION("""COMPUTED_VALUE"""),"HAUTIER")</f>
        <v>HAUTIER</v>
      </c>
      <c r="D24" s="48" t="str">
        <f ca="1">IFERROR(__xludf.DUMMYFUNCTION("""COMPUTED_VALUE"""),"Jean Marc")</f>
        <v>Jean Marc</v>
      </c>
      <c r="E24" s="49" t="str">
        <f ca="1">IFERROR(__xludf.DUMMYFUNCTION("""COMPUTED_VALUE"""),"06510112")</f>
        <v>06510112</v>
      </c>
      <c r="F24" s="48" t="str">
        <f ca="1">IFERROR(__xludf.DUMMYFUNCTION("""COMPUTED_VALUE"""),"CHALONS-EN-CHAMPAGNE TT")</f>
        <v>CHALONS-EN-CHAMPAGNE TT</v>
      </c>
      <c r="G24" s="50" t="str">
        <f ca="1">IFERROR(__xludf.DUMMYFUNCTION("""COMPUTED_VALUE"""),"CD51")</f>
        <v>CD51</v>
      </c>
      <c r="H24" s="50" t="str">
        <f ca="1">IFERROR(__xludf.DUMMYFUNCTION("""COMPUTED_VALUE"""),"actif")</f>
        <v>actif</v>
      </c>
    </row>
    <row r="25" spans="1:8" ht="12.75">
      <c r="A25" s="46">
        <f ca="1">IFERROR(__xludf.DUMMYFUNCTION("""COMPUTED_VALUE"""),13)</f>
        <v>13</v>
      </c>
      <c r="B25" s="65" t="str">
        <f ca="1">IFERROR(__xludf.DUMMYFUNCTION("""COMPUTED_VALUE"""),"6721761")</f>
        <v>6721761</v>
      </c>
      <c r="C25" s="48" t="str">
        <f ca="1">IFERROR(__xludf.DUMMYFUNCTION("""COMPUTED_VALUE"""),"HEY")</f>
        <v>HEY</v>
      </c>
      <c r="D25" s="48" t="str">
        <f ca="1">IFERROR(__xludf.DUMMYFUNCTION("""COMPUTED_VALUE"""),"Nicolas")</f>
        <v>Nicolas</v>
      </c>
      <c r="E25" s="49" t="str">
        <f ca="1">IFERROR(__xludf.DUMMYFUNCTION("""COMPUTED_VALUE"""),"06670261")</f>
        <v>06670261</v>
      </c>
      <c r="F25" s="48" t="str">
        <f ca="1">IFERROR(__xludf.DUMMYFUNCTION("""COMPUTED_VALUE"""),"Avenir KOCHERSBERG TT")</f>
        <v>Avenir KOCHERSBERG TT</v>
      </c>
      <c r="G25" s="50" t="str">
        <f ca="1">IFERROR(__xludf.DUMMYFUNCTION("""COMPUTED_VALUE"""),"CD67")</f>
        <v>CD67</v>
      </c>
      <c r="H25" s="50" t="str">
        <f ca="1">IFERROR(__xludf.DUMMYFUNCTION("""COMPUTED_VALUE"""),"actif")</f>
        <v>actif</v>
      </c>
    </row>
    <row r="26" spans="1:8" ht="12.75">
      <c r="A26" s="46">
        <f ca="1">IFERROR(__xludf.DUMMYFUNCTION("""COMPUTED_VALUE"""),14)</f>
        <v>14</v>
      </c>
      <c r="B26" s="65" t="str">
        <f ca="1">IFERROR(__xludf.DUMMYFUNCTION("""COMPUTED_VALUE"""),"57166")</f>
        <v>57166</v>
      </c>
      <c r="C26" s="48" t="str">
        <f ca="1">IFERROR(__xludf.DUMMYFUNCTION("""COMPUTED_VALUE"""),"HOSY")</f>
        <v>HOSY</v>
      </c>
      <c r="D26" s="48" t="str">
        <f ca="1">IFERROR(__xludf.DUMMYFUNCTION("""COMPUTED_VALUE"""),"Remi")</f>
        <v>Remi</v>
      </c>
      <c r="E26" s="49" t="str">
        <f ca="1">IFERROR(__xludf.DUMMYFUNCTION("""COMPUTED_VALUE"""),"06570014")</f>
        <v>06570014</v>
      </c>
      <c r="F26" s="48" t="str">
        <f ca="1">IFERROR(__xludf.DUMMYFUNCTION("""COMPUTED_VALUE"""),"MANOM J.S.")</f>
        <v>MANOM J.S.</v>
      </c>
      <c r="G26" s="50" t="str">
        <f ca="1">IFERROR(__xludf.DUMMYFUNCTION("""COMPUTED_VALUE"""),"CD57")</f>
        <v>CD57</v>
      </c>
      <c r="H26" s="50" t="str">
        <f ca="1">IFERROR(__xludf.DUMMYFUNCTION("""COMPUTED_VALUE"""),"actif")</f>
        <v>actif</v>
      </c>
    </row>
    <row r="27" spans="1:8" ht="12.75">
      <c r="A27" s="46">
        <f ca="1">IFERROR(__xludf.DUMMYFUNCTION("""COMPUTED_VALUE"""),15)</f>
        <v>15</v>
      </c>
      <c r="B27" s="65" t="str">
        <f ca="1">IFERROR(__xludf.DUMMYFUNCTION("""COMPUTED_VALUE"""),"887186")</f>
        <v>887186</v>
      </c>
      <c r="C27" s="48" t="str">
        <f ca="1">IFERROR(__xludf.DUMMYFUNCTION("""COMPUTED_VALUE"""),"LAFONTAINE")</f>
        <v>LAFONTAINE</v>
      </c>
      <c r="D27" s="48" t="str">
        <f ca="1">IFERROR(__xludf.DUMMYFUNCTION("""COMPUTED_VALUE"""),"Michel")</f>
        <v>Michel</v>
      </c>
      <c r="E27" s="49" t="str">
        <f ca="1">IFERROR(__xludf.DUMMYFUNCTION("""COMPUTED_VALUE"""),"06540199")</f>
        <v>06540199</v>
      </c>
      <c r="F27" s="48" t="str">
        <f ca="1">IFERROR(__xludf.DUMMYFUNCTION("""COMPUTED_VALUE"""),"HOUDEMONT ATT")</f>
        <v>HOUDEMONT ATT</v>
      </c>
      <c r="G27" s="50" t="str">
        <f ca="1">IFERROR(__xludf.DUMMYFUNCTION("""COMPUTED_VALUE"""),"CD54")</f>
        <v>CD54</v>
      </c>
      <c r="H27" s="50" t="str">
        <f ca="1">IFERROR(__xludf.DUMMYFUNCTION("""COMPUTED_VALUE"""),"actif")</f>
        <v>actif</v>
      </c>
    </row>
    <row r="28" spans="1:8" ht="12.75">
      <c r="A28" s="46">
        <f ca="1">IFERROR(__xludf.DUMMYFUNCTION("""COMPUTED_VALUE"""),16)</f>
        <v>16</v>
      </c>
      <c r="B28" s="65" t="str">
        <f ca="1">IFERROR(__xludf.DUMMYFUNCTION("""COMPUTED_VALUE"""),"101554")</f>
        <v>101554</v>
      </c>
      <c r="C28" s="48" t="str">
        <f ca="1">IFERROR(__xludf.DUMMYFUNCTION("""COMPUTED_VALUE"""),"LARCHER")</f>
        <v>LARCHER</v>
      </c>
      <c r="D28" s="48" t="str">
        <f ca="1">IFERROR(__xludf.DUMMYFUNCTION("""COMPUTED_VALUE"""),"Claudie")</f>
        <v>Claudie</v>
      </c>
      <c r="E28" s="49" t="str">
        <f ca="1">IFERROR(__xludf.DUMMYFUNCTION("""COMPUTED_VALUE"""),"06100015")</f>
        <v>06100015</v>
      </c>
      <c r="F28" s="48" t="str">
        <f ca="1">IFERROR(__xludf.DUMMYFUNCTION("""COMPUTED_VALUE"""),"TROYES JEUNE GARDE")</f>
        <v>TROYES JEUNE GARDE</v>
      </c>
      <c r="G28" s="50" t="str">
        <f ca="1">IFERROR(__xludf.DUMMYFUNCTION("""COMPUTED_VALUE"""),"CD10")</f>
        <v>CD10</v>
      </c>
      <c r="H28" s="50" t="str">
        <f ca="1">IFERROR(__xludf.DUMMYFUNCTION("""COMPUTED_VALUE"""),"actif")</f>
        <v>actif</v>
      </c>
    </row>
    <row r="29" spans="1:8" ht="12.75">
      <c r="A29" s="46">
        <f ca="1">IFERROR(__xludf.DUMMYFUNCTION("""COMPUTED_VALUE"""),17)</f>
        <v>17</v>
      </c>
      <c r="B29" s="65" t="str">
        <f ca="1">IFERROR(__xludf.DUMMYFUNCTION("""COMPUTED_VALUE"""),"517527")</f>
        <v>517527</v>
      </c>
      <c r="C29" s="48" t="str">
        <f ca="1">IFERROR(__xludf.DUMMYFUNCTION("""COMPUTED_VALUE"""),"LEGRY")</f>
        <v>LEGRY</v>
      </c>
      <c r="D29" s="48" t="str">
        <f ca="1">IFERROR(__xludf.DUMMYFUNCTION("""COMPUTED_VALUE"""),"Jean Emmanuel")</f>
        <v>Jean Emmanuel</v>
      </c>
      <c r="E29" s="49" t="str">
        <f ca="1">IFERROR(__xludf.DUMMYFUNCTION("""COMPUTED_VALUE"""),"06510112")</f>
        <v>06510112</v>
      </c>
      <c r="F29" s="48" t="str">
        <f ca="1">IFERROR(__xludf.DUMMYFUNCTION("""COMPUTED_VALUE"""),"CHALONS-EN-CHAMPAGNE TT")</f>
        <v>CHALONS-EN-CHAMPAGNE TT</v>
      </c>
      <c r="G29" s="50" t="str">
        <f ca="1">IFERROR(__xludf.DUMMYFUNCTION("""COMPUTED_VALUE"""),"CD51")</f>
        <v>CD51</v>
      </c>
      <c r="H29" s="50" t="str">
        <f ca="1">IFERROR(__xludf.DUMMYFUNCTION("""COMPUTED_VALUE"""),"actif")</f>
        <v>actif</v>
      </c>
    </row>
    <row r="30" spans="1:8" ht="12.75">
      <c r="A30" s="46">
        <f ca="1">IFERROR(__xludf.DUMMYFUNCTION("""COMPUTED_VALUE"""),18)</f>
        <v>18</v>
      </c>
      <c r="B30" s="65" t="str">
        <f ca="1">IFERROR(__xludf.DUMMYFUNCTION("""COMPUTED_VALUE"""),"5417994")</f>
        <v>5417994</v>
      </c>
      <c r="C30" s="48" t="str">
        <f ca="1">IFERROR(__xludf.DUMMYFUNCTION("""COMPUTED_VALUE"""),"LEONI")</f>
        <v>LEONI</v>
      </c>
      <c r="D30" s="48" t="str">
        <f ca="1">IFERROR(__xludf.DUMMYFUNCTION("""COMPUTED_VALUE"""),"Philippe")</f>
        <v>Philippe</v>
      </c>
      <c r="E30" s="49" t="str">
        <f ca="1">IFERROR(__xludf.DUMMYFUNCTION("""COMPUTED_VALUE"""),"06540104")</f>
        <v>06540104</v>
      </c>
      <c r="F30" s="48" t="str">
        <f ca="1">IFERROR(__xludf.DUMMYFUNCTION("""COMPUTED_VALUE"""),"AUDUN LE ROMAN ASTT")</f>
        <v>AUDUN LE ROMAN ASTT</v>
      </c>
      <c r="G30" s="50" t="str">
        <f ca="1">IFERROR(__xludf.DUMMYFUNCTION("""COMPUTED_VALUE"""),"CD54")</f>
        <v>CD54</v>
      </c>
      <c r="H30" s="50" t="str">
        <f ca="1">IFERROR(__xludf.DUMMYFUNCTION("""COMPUTED_VALUE"""),"actif")</f>
        <v>actif</v>
      </c>
    </row>
    <row r="31" spans="1:8" ht="12.75">
      <c r="A31" s="46">
        <f ca="1">IFERROR(__xludf.DUMMYFUNCTION("""COMPUTED_VALUE"""),19)</f>
        <v>19</v>
      </c>
      <c r="B31" s="65" t="str">
        <f ca="1">IFERROR(__xludf.DUMMYFUNCTION("""COMPUTED_VALUE"""),"10105")</f>
        <v>10105</v>
      </c>
      <c r="C31" s="48" t="str">
        <f ca="1">IFERROR(__xludf.DUMMYFUNCTION("""COMPUTED_VALUE"""),"LIEBON")</f>
        <v>LIEBON</v>
      </c>
      <c r="D31" s="48" t="str">
        <f ca="1">IFERROR(__xludf.DUMMYFUNCTION("""COMPUTED_VALUE"""),"Jean-Claude")</f>
        <v>Jean-Claude</v>
      </c>
      <c r="E31" s="49" t="str">
        <f ca="1">IFERROR(__xludf.DUMMYFUNCTION("""COMPUTED_VALUE"""),"06100016")</f>
        <v>06100016</v>
      </c>
      <c r="F31" s="48" t="str">
        <f ca="1">IFERROR(__xludf.DUMMYFUNCTION("""COMPUTED_VALUE"""),"BAR SUR SEINE FJ")</f>
        <v>BAR SUR SEINE FJ</v>
      </c>
      <c r="G31" s="50" t="str">
        <f ca="1">IFERROR(__xludf.DUMMYFUNCTION("""COMPUTED_VALUE"""),"CD10")</f>
        <v>CD10</v>
      </c>
      <c r="H31" s="50" t="str">
        <f ca="1">IFERROR(__xludf.DUMMYFUNCTION("""COMPUTED_VALUE"""),"actif")</f>
        <v>actif</v>
      </c>
    </row>
    <row r="32" spans="1:8" ht="12.75">
      <c r="A32" s="46">
        <f ca="1">IFERROR(__xludf.DUMMYFUNCTION("""COMPUTED_VALUE"""),20)</f>
        <v>20</v>
      </c>
      <c r="B32" s="65" t="str">
        <f ca="1">IFERROR(__xludf.DUMMYFUNCTION("""COMPUTED_VALUE"""),"5416503")</f>
        <v>5416503</v>
      </c>
      <c r="C32" s="48" t="str">
        <f ca="1">IFERROR(__xludf.DUMMYFUNCTION("""COMPUTED_VALUE"""),"LUQUET")</f>
        <v>LUQUET</v>
      </c>
      <c r="D32" s="48" t="str">
        <f ca="1">IFERROR(__xludf.DUMMYFUNCTION("""COMPUTED_VALUE"""),"Loic")</f>
        <v>Loic</v>
      </c>
      <c r="E32" s="49" t="str">
        <f ca="1">IFERROR(__xludf.DUMMYFUNCTION("""COMPUTED_VALUE"""),"06540021")</f>
        <v>06540021</v>
      </c>
      <c r="F32" s="48" t="str">
        <f ca="1">IFERROR(__xludf.DUMMYFUNCTION("""COMPUTED_VALUE"""),"LUNEVILLE A.L.T.T.")</f>
        <v>LUNEVILLE A.L.T.T.</v>
      </c>
      <c r="G32" s="50" t="str">
        <f ca="1">IFERROR(__xludf.DUMMYFUNCTION("""COMPUTED_VALUE"""),"CD54")</f>
        <v>CD54</v>
      </c>
      <c r="H32" s="50" t="str">
        <f ca="1">IFERROR(__xludf.DUMMYFUNCTION("""COMPUTED_VALUE"""),"actif")</f>
        <v>actif</v>
      </c>
    </row>
    <row r="33" spans="1:8" ht="12.75">
      <c r="A33" s="46">
        <f ca="1">IFERROR(__xludf.DUMMYFUNCTION("""COMPUTED_VALUE"""),21)</f>
        <v>21</v>
      </c>
      <c r="B33" s="65" t="str">
        <f ca="1">IFERROR(__xludf.DUMMYFUNCTION("""COMPUTED_VALUE"""),"88351")</f>
        <v>88351</v>
      </c>
      <c r="C33" s="48" t="str">
        <f ca="1">IFERROR(__xludf.DUMMYFUNCTION("""COMPUTED_VALUE"""),"MATHIS")</f>
        <v>MATHIS</v>
      </c>
      <c r="D33" s="48" t="str">
        <f ca="1">IFERROR(__xludf.DUMMYFUNCTION("""COMPUTED_VALUE"""),"Eric")</f>
        <v>Eric</v>
      </c>
      <c r="E33" s="49" t="str">
        <f ca="1">IFERROR(__xludf.DUMMYFUNCTION("""COMPUTED_VALUE"""),"06880066")</f>
        <v>06880066</v>
      </c>
      <c r="F33" s="48" t="str">
        <f ca="1">IFERROR(__xludf.DUMMYFUNCTION("""COMPUTED_VALUE"""),"ELOYES C.L.L.T.T.")</f>
        <v>ELOYES C.L.L.T.T.</v>
      </c>
      <c r="G33" s="50" t="str">
        <f ca="1">IFERROR(__xludf.DUMMYFUNCTION("""COMPUTED_VALUE"""),"CD88")</f>
        <v>CD88</v>
      </c>
      <c r="H33" s="50" t="str">
        <f ca="1">IFERROR(__xludf.DUMMYFUNCTION("""COMPUTED_VALUE"""),"actif")</f>
        <v>actif</v>
      </c>
    </row>
    <row r="34" spans="1:8" ht="12.75">
      <c r="A34" s="46">
        <f ca="1">IFERROR(__xludf.DUMMYFUNCTION("""COMPUTED_VALUE"""),22)</f>
        <v>22</v>
      </c>
      <c r="B34" s="65" t="str">
        <f ca="1">IFERROR(__xludf.DUMMYFUNCTION("""COMPUTED_VALUE"""),"88227")</f>
        <v>88227</v>
      </c>
      <c r="C34" s="48" t="str">
        <f ca="1">IFERROR(__xludf.DUMMYFUNCTION("""COMPUTED_VALUE"""),"PARIS")</f>
        <v>PARIS</v>
      </c>
      <c r="D34" s="48" t="str">
        <f ca="1">IFERROR(__xludf.DUMMYFUNCTION("""COMPUTED_VALUE"""),"Rene")</f>
        <v>Rene</v>
      </c>
      <c r="E34" s="49" t="str">
        <f ca="1">IFERROR(__xludf.DUMMYFUNCTION("""COMPUTED_VALUE"""),"06880010")</f>
        <v>06880010</v>
      </c>
      <c r="F34" s="48" t="str">
        <f ca="1">IFERROR(__xludf.DUMMYFUNCTION("""COMPUTED_VALUE"""),"SAINT DIE SRDTT")</f>
        <v>SAINT DIE SRDTT</v>
      </c>
      <c r="G34" s="50" t="str">
        <f ca="1">IFERROR(__xludf.DUMMYFUNCTION("""COMPUTED_VALUE"""),"CD88")</f>
        <v>CD88</v>
      </c>
      <c r="H34" s="50" t="str">
        <f ca="1">IFERROR(__xludf.DUMMYFUNCTION("""COMPUTED_VALUE"""),"actif")</f>
        <v>actif</v>
      </c>
    </row>
    <row r="35" spans="1:8" ht="12.75">
      <c r="A35" s="46">
        <f ca="1">IFERROR(__xludf.DUMMYFUNCTION("""COMPUTED_VALUE"""),23)</f>
        <v>23</v>
      </c>
      <c r="B35" s="65" t="str">
        <f ca="1">IFERROR(__xludf.DUMMYFUNCTION("""COMPUTED_VALUE"""),"5419441")</f>
        <v>5419441</v>
      </c>
      <c r="C35" s="48" t="str">
        <f ca="1">IFERROR(__xludf.DUMMYFUNCTION("""COMPUTED_VALUE"""),"PARMENTELAT")</f>
        <v>PARMENTELAT</v>
      </c>
      <c r="D35" s="48" t="str">
        <f ca="1">IFERROR(__xludf.DUMMYFUNCTION("""COMPUTED_VALUE"""),"Tamara")</f>
        <v>Tamara</v>
      </c>
      <c r="E35" s="49" t="str">
        <f ca="1">IFERROR(__xludf.DUMMYFUNCTION("""COMPUTED_VALUE"""),"06540028")</f>
        <v>06540028</v>
      </c>
      <c r="F35" s="48" t="str">
        <f ca="1">IFERROR(__xludf.DUMMYFUNCTION("""COMPUTED_VALUE"""),"NANCY ASPTT-JARVILLE Jeune")</f>
        <v>NANCY ASPTT-JARVILLE Jeune</v>
      </c>
      <c r="G35" s="50" t="str">
        <f ca="1">IFERROR(__xludf.DUMMYFUNCTION("""COMPUTED_VALUE"""),"CD54")</f>
        <v>CD54</v>
      </c>
      <c r="H35" s="50" t="str">
        <f ca="1">IFERROR(__xludf.DUMMYFUNCTION("""COMPUTED_VALUE"""),"actif")</f>
        <v>actif</v>
      </c>
    </row>
    <row r="36" spans="1:8" ht="12.75">
      <c r="A36" s="46">
        <f ca="1">IFERROR(__xludf.DUMMYFUNCTION("""COMPUTED_VALUE"""),24)</f>
        <v>24</v>
      </c>
      <c r="B36" s="65" t="str">
        <f ca="1">IFERROR(__xludf.DUMMYFUNCTION("""COMPUTED_VALUE"""),"091019")</f>
        <v>091019</v>
      </c>
      <c r="C36" s="48" t="str">
        <f ca="1">IFERROR(__xludf.DUMMYFUNCTION("""COMPUTED_VALUE"""),"RINCON")</f>
        <v>RINCON</v>
      </c>
      <c r="D36" s="48" t="str">
        <f ca="1">IFERROR(__xludf.DUMMYFUNCTION("""COMPUTED_VALUE"""),"Vincent")</f>
        <v>Vincent</v>
      </c>
      <c r="E36" s="49" t="str">
        <f ca="1">IFERROR(__xludf.DUMMYFUNCTION("""COMPUTED_VALUE"""),"06670014")</f>
        <v>06670014</v>
      </c>
      <c r="F36" s="48" t="str">
        <f ca="1">IFERROR(__xludf.DUMMYFUNCTION("""COMPUTED_VALUE"""),"ILLKIRCH GRAFFENSTADEN AP")</f>
        <v>ILLKIRCH GRAFFENSTADEN AP</v>
      </c>
      <c r="G36" s="50" t="str">
        <f ca="1">IFERROR(__xludf.DUMMYFUNCTION("""COMPUTED_VALUE"""),"CD67")</f>
        <v>CD67</v>
      </c>
      <c r="H36" s="50" t="str">
        <f ca="1">IFERROR(__xludf.DUMMYFUNCTION("""COMPUTED_VALUE"""),"actif")</f>
        <v>actif</v>
      </c>
    </row>
    <row r="37" spans="1:8" ht="12.75">
      <c r="A37" s="46">
        <f ca="1">IFERROR(__xludf.DUMMYFUNCTION("""COMPUTED_VALUE"""),25)</f>
        <v>25</v>
      </c>
      <c r="B37" s="65" t="str">
        <f ca="1">IFERROR(__xludf.DUMMYFUNCTION("""COMPUTED_VALUE"""),"609649")</f>
        <v>609649</v>
      </c>
      <c r="C37" s="48" t="str">
        <f ca="1">IFERROR(__xludf.DUMMYFUNCTION("""COMPUTED_VALUE"""),"ROISNE")</f>
        <v>ROISNE</v>
      </c>
      <c r="D37" s="48" t="str">
        <f ca="1">IFERROR(__xludf.DUMMYFUNCTION("""COMPUTED_VALUE"""),"Vincent")</f>
        <v>Vincent</v>
      </c>
      <c r="E37" s="49" t="str">
        <f ca="1">IFERROR(__xludf.DUMMYFUNCTION("""COMPUTED_VALUE"""),"06570024")</f>
        <v>06570024</v>
      </c>
      <c r="F37" s="48" t="str">
        <f ca="1">IFERROR(__xludf.DUMMYFUNCTION("""COMPUTED_VALUE"""),"THIONVILLE Tennis de Table")</f>
        <v>THIONVILLE Tennis de Table</v>
      </c>
      <c r="G37" s="50" t="str">
        <f ca="1">IFERROR(__xludf.DUMMYFUNCTION("""COMPUTED_VALUE"""),"CD57")</f>
        <v>CD57</v>
      </c>
      <c r="H37" s="50" t="str">
        <f ca="1">IFERROR(__xludf.DUMMYFUNCTION("""COMPUTED_VALUE"""),"actif")</f>
        <v>actif</v>
      </c>
    </row>
    <row r="38" spans="1:8" ht="12.75">
      <c r="A38" s="46">
        <f ca="1">IFERROR(__xludf.DUMMYFUNCTION("""COMPUTED_VALUE"""),26)</f>
        <v>26</v>
      </c>
      <c r="B38" s="65" t="str">
        <f ca="1">IFERROR(__xludf.DUMMYFUNCTION("""COMPUTED_VALUE"""),"572523")</f>
        <v>572523</v>
      </c>
      <c r="C38" s="48" t="str">
        <f ca="1">IFERROR(__xludf.DUMMYFUNCTION("""COMPUTED_VALUE"""),"SCHOUVER")</f>
        <v>SCHOUVER</v>
      </c>
      <c r="D38" s="48" t="str">
        <f ca="1">IFERROR(__xludf.DUMMYFUNCTION("""COMPUTED_VALUE"""),"Franck")</f>
        <v>Franck</v>
      </c>
      <c r="E38" s="49" t="str">
        <f ca="1">IFERROR(__xludf.DUMMYFUNCTION("""COMPUTED_VALUE"""),"06570029")</f>
        <v>06570029</v>
      </c>
      <c r="F38" s="48" t="str">
        <f ca="1">IFERROR(__xludf.DUMMYFUNCTION("""COMPUTED_VALUE"""),"WILLERWALD A.S.")</f>
        <v>WILLERWALD A.S.</v>
      </c>
      <c r="G38" s="50" t="str">
        <f ca="1">IFERROR(__xludf.DUMMYFUNCTION("""COMPUTED_VALUE"""),"CD57")</f>
        <v>CD57</v>
      </c>
      <c r="H38" s="50" t="str">
        <f ca="1">IFERROR(__xludf.DUMMYFUNCTION("""COMPUTED_VALUE"""),"actif")</f>
        <v>actif</v>
      </c>
    </row>
    <row r="39" spans="1:8" ht="12.75">
      <c r="A39" s="46">
        <f ca="1">IFERROR(__xludf.DUMMYFUNCTION("""COMPUTED_VALUE"""),27)</f>
        <v>27</v>
      </c>
      <c r="B39" s="65" t="str">
        <f ca="1">IFERROR(__xludf.DUMMYFUNCTION("""COMPUTED_VALUE"""),"68124")</f>
        <v>68124</v>
      </c>
      <c r="C39" s="48" t="str">
        <f ca="1">IFERROR(__xludf.DUMMYFUNCTION("""COMPUTED_VALUE"""),"SPIECKER")</f>
        <v>SPIECKER</v>
      </c>
      <c r="D39" s="48" t="str">
        <f ca="1">IFERROR(__xludf.DUMMYFUNCTION("""COMPUTED_VALUE"""),"Claude")</f>
        <v>Claude</v>
      </c>
      <c r="E39" s="49" t="str">
        <f ca="1">IFERROR(__xludf.DUMMYFUNCTION("""COMPUTED_VALUE"""),"06680004")</f>
        <v>06680004</v>
      </c>
      <c r="F39" s="48" t="str">
        <f ca="1">IFERROR(__xludf.DUMMYFUNCTION("""COMPUTED_VALUE"""),"COLMAR MJC")</f>
        <v>COLMAR MJC</v>
      </c>
      <c r="G39" s="50" t="str">
        <f ca="1">IFERROR(__xludf.DUMMYFUNCTION("""COMPUTED_VALUE"""),"CD68")</f>
        <v>CD68</v>
      </c>
      <c r="H39" s="50" t="str">
        <f ca="1">IFERROR(__xludf.DUMMYFUNCTION("""COMPUTED_VALUE"""),"actif")</f>
        <v>actif</v>
      </c>
    </row>
    <row r="40" spans="1:8" ht="12.75">
      <c r="A40" s="46">
        <f ca="1">IFERROR(__xludf.DUMMYFUNCTION("""COMPUTED_VALUE"""),28)</f>
        <v>28</v>
      </c>
      <c r="B40" s="65" t="str">
        <f ca="1">IFERROR(__xludf.DUMMYFUNCTION("""COMPUTED_VALUE"""),"673217")</f>
        <v>673217</v>
      </c>
      <c r="C40" s="48" t="str">
        <f ca="1">IFERROR(__xludf.DUMMYFUNCTION("""COMPUTED_VALUE"""),"STOFFEL")</f>
        <v>STOFFEL</v>
      </c>
      <c r="D40" s="48" t="str">
        <f ca="1">IFERROR(__xludf.DUMMYFUNCTION("""COMPUTED_VALUE"""),"Corinne")</f>
        <v>Corinne</v>
      </c>
      <c r="E40" s="49" t="str">
        <f ca="1">IFERROR(__xludf.DUMMYFUNCTION("""COMPUTED_VALUE"""),"06670160")</f>
        <v>06670160</v>
      </c>
      <c r="F40" s="48" t="str">
        <f ca="1">IFERROR(__xludf.DUMMYFUNCTION("""COMPUTED_VALUE"""),"T.T.Haguenau Wissembourg")</f>
        <v>T.T.Haguenau Wissembourg</v>
      </c>
      <c r="G40" s="50" t="str">
        <f ca="1">IFERROR(__xludf.DUMMYFUNCTION("""COMPUTED_VALUE"""),"CD67")</f>
        <v>CD67</v>
      </c>
      <c r="H40" s="50" t="str">
        <f ca="1">IFERROR(__xludf.DUMMYFUNCTION("""COMPUTED_VALUE"""),"actif")</f>
        <v>actif</v>
      </c>
    </row>
    <row r="41" spans="1:8" ht="12.75">
      <c r="A41" s="46">
        <f ca="1">IFERROR(__xludf.DUMMYFUNCTION("""COMPUTED_VALUE"""),29)</f>
        <v>29</v>
      </c>
      <c r="B41" s="65" t="str">
        <f ca="1">IFERROR(__xludf.DUMMYFUNCTION("""COMPUTED_VALUE"""),"518961")</f>
        <v>518961</v>
      </c>
      <c r="C41" s="48" t="str">
        <f ca="1">IFERROR(__xludf.DUMMYFUNCTION("""COMPUTED_VALUE"""),"VAUCOULEUR")</f>
        <v>VAUCOULEUR</v>
      </c>
      <c r="D41" s="48" t="str">
        <f ca="1">IFERROR(__xludf.DUMMYFUNCTION("""COMPUTED_VALUE"""),"Dominique")</f>
        <v>Dominique</v>
      </c>
      <c r="E41" s="49" t="str">
        <f ca="1">IFERROR(__xludf.DUMMYFUNCTION("""COMPUTED_VALUE"""),"06510001")</f>
        <v>06510001</v>
      </c>
      <c r="F41" s="48" t="str">
        <f ca="1">IFERROR(__xludf.DUMMYFUNCTION("""COMPUTED_VALUE"""),"REIMS OLYMPIQUE TT")</f>
        <v>REIMS OLYMPIQUE TT</v>
      </c>
      <c r="G41" s="50" t="str">
        <f ca="1">IFERROR(__xludf.DUMMYFUNCTION("""COMPUTED_VALUE"""),"CD51")</f>
        <v>CD51</v>
      </c>
      <c r="H41" s="50" t="str">
        <f ca="1">IFERROR(__xludf.DUMMYFUNCTION("""COMPUTED_VALUE"""),"actif")</f>
        <v>actif</v>
      </c>
    </row>
    <row r="42" spans="1:8" ht="12.75">
      <c r="A42" s="46">
        <f ca="1">IFERROR(__xludf.DUMMYFUNCTION("""COMPUTED_VALUE"""),30)</f>
        <v>30</v>
      </c>
      <c r="B42" s="65" t="str">
        <f ca="1">IFERROR(__xludf.DUMMYFUNCTION("""COMPUTED_VALUE"""),"88380")</f>
        <v>88380</v>
      </c>
      <c r="C42" s="48" t="str">
        <f ca="1">IFERROR(__xludf.DUMMYFUNCTION("""COMPUTED_VALUE"""),"VOYEN")</f>
        <v>VOYEN</v>
      </c>
      <c r="D42" s="48" t="str">
        <f ca="1">IFERROR(__xludf.DUMMYFUNCTION("""COMPUTED_VALUE"""),"Allain")</f>
        <v>Allain</v>
      </c>
      <c r="E42" s="49" t="str">
        <f ca="1">IFERROR(__xludf.DUMMYFUNCTION("""COMPUTED_VALUE"""),"06880021")</f>
        <v>06880021</v>
      </c>
      <c r="F42" s="48" t="str">
        <f ca="1">IFERROR(__xludf.DUMMYFUNCTION("""COMPUTED_VALUE"""),"BAINS LES BAINS AM.PONG.")</f>
        <v>BAINS LES BAINS AM.PONG.</v>
      </c>
      <c r="G42" s="50" t="str">
        <f ca="1">IFERROR(__xludf.DUMMYFUNCTION("""COMPUTED_VALUE"""),"CD88")</f>
        <v>CD88</v>
      </c>
      <c r="H42" s="50" t="str">
        <f ca="1">IFERROR(__xludf.DUMMYFUNCTION("""COMPUTED_VALUE"""),"actif")</f>
        <v>actif</v>
      </c>
    </row>
    <row r="43" spans="1:8" ht="12.75">
      <c r="A43" s="46" t="str">
        <f ca="1">IFERROR(__xludf.DUMMYFUNCTION("""COMPUTED_VALUE"""),"")</f>
        <v/>
      </c>
      <c r="B43" s="65"/>
      <c r="C43" s="48" t="str">
        <f ca="1">IFERROR(__xludf.DUMMYFUNCTION("""COMPUTED_VALUE"""),"")</f>
        <v/>
      </c>
      <c r="D43" s="48" t="str">
        <f ca="1">IFERROR(__xludf.DUMMYFUNCTION("""COMPUTED_VALUE"""),"")</f>
        <v/>
      </c>
      <c r="E43" s="49" t="str">
        <f ca="1">IFERROR(__xludf.DUMMYFUNCTION("""COMPUTED_VALUE"""),"")</f>
        <v/>
      </c>
      <c r="F43" s="48" t="str">
        <f ca="1">IFERROR(__xludf.DUMMYFUNCTION("""COMPUTED_VALUE"""),"")</f>
        <v/>
      </c>
      <c r="G43" s="50" t="str">
        <f ca="1">IFERROR(__xludf.DUMMYFUNCTION("""COMPUTED_VALUE"""),"")</f>
        <v/>
      </c>
      <c r="H43" s="50" t="str">
        <f ca="1">IFERROR(__xludf.DUMMYFUNCTION("""COMPUTED_VALUE"""),"")</f>
        <v/>
      </c>
    </row>
    <row r="44" spans="1:8" ht="12.75">
      <c r="A44" s="46" t="str">
        <f ca="1">IFERROR(__xludf.DUMMYFUNCTION("""COMPUTED_VALUE"""),"")</f>
        <v/>
      </c>
      <c r="B44" s="65"/>
      <c r="C44" s="48" t="str">
        <f ca="1">IFERROR(__xludf.DUMMYFUNCTION("""COMPUTED_VALUE"""),"")</f>
        <v/>
      </c>
      <c r="D44" s="48" t="str">
        <f ca="1">IFERROR(__xludf.DUMMYFUNCTION("""COMPUTED_VALUE"""),"")</f>
        <v/>
      </c>
      <c r="E44" s="49" t="str">
        <f ca="1">IFERROR(__xludf.DUMMYFUNCTION("""COMPUTED_VALUE"""),"")</f>
        <v/>
      </c>
      <c r="F44" s="48" t="str">
        <f ca="1">IFERROR(__xludf.DUMMYFUNCTION("""COMPUTED_VALUE"""),"")</f>
        <v/>
      </c>
      <c r="G44" s="50" t="str">
        <f ca="1">IFERROR(__xludf.DUMMYFUNCTION("""COMPUTED_VALUE"""),"")</f>
        <v/>
      </c>
      <c r="H44" s="50" t="str">
        <f ca="1">IFERROR(__xludf.DUMMYFUNCTION("""COMPUTED_VALUE"""),"")</f>
        <v/>
      </c>
    </row>
    <row r="45" spans="1:8" ht="12.75">
      <c r="A45" s="46" t="str">
        <f ca="1">IFERROR(__xludf.DUMMYFUNCTION("""COMPUTED_VALUE"""),"")</f>
        <v/>
      </c>
      <c r="B45" s="65"/>
      <c r="C45" s="48" t="str">
        <f ca="1">IFERROR(__xludf.DUMMYFUNCTION("""COMPUTED_VALUE"""),"")</f>
        <v/>
      </c>
      <c r="D45" s="48" t="str">
        <f ca="1">IFERROR(__xludf.DUMMYFUNCTION("""COMPUTED_VALUE"""),"")</f>
        <v/>
      </c>
      <c r="E45" s="49" t="str">
        <f ca="1">IFERROR(__xludf.DUMMYFUNCTION("""COMPUTED_VALUE"""),"")</f>
        <v/>
      </c>
      <c r="F45" s="48" t="str">
        <f ca="1">IFERROR(__xludf.DUMMYFUNCTION("""COMPUTED_VALUE"""),"")</f>
        <v/>
      </c>
      <c r="G45" s="50" t="str">
        <f ca="1">IFERROR(__xludf.DUMMYFUNCTION("""COMPUTED_VALUE"""),"")</f>
        <v/>
      </c>
      <c r="H45" s="50" t="str">
        <f ca="1">IFERROR(__xludf.DUMMYFUNCTION("""COMPUTED_VALUE"""),"")</f>
        <v/>
      </c>
    </row>
    <row r="46" spans="1:8" ht="12.75">
      <c r="A46" s="46" t="str">
        <f ca="1">IFERROR(__xludf.DUMMYFUNCTION("""COMPUTED_VALUE"""),"")</f>
        <v/>
      </c>
      <c r="B46" s="65"/>
      <c r="C46" s="48" t="str">
        <f ca="1">IFERROR(__xludf.DUMMYFUNCTION("""COMPUTED_VALUE"""),"")</f>
        <v/>
      </c>
      <c r="D46" s="48" t="str">
        <f ca="1">IFERROR(__xludf.DUMMYFUNCTION("""COMPUTED_VALUE"""),"")</f>
        <v/>
      </c>
      <c r="E46" s="49" t="str">
        <f ca="1">IFERROR(__xludf.DUMMYFUNCTION("""COMPUTED_VALUE"""),"")</f>
        <v/>
      </c>
      <c r="F46" s="48" t="str">
        <f ca="1">IFERROR(__xludf.DUMMYFUNCTION("""COMPUTED_VALUE"""),"")</f>
        <v/>
      </c>
      <c r="G46" s="50" t="str">
        <f ca="1">IFERROR(__xludf.DUMMYFUNCTION("""COMPUTED_VALUE"""),"")</f>
        <v/>
      </c>
      <c r="H46" s="50" t="str">
        <f ca="1">IFERROR(__xludf.DUMMYFUNCTION("""COMPUTED_VALUE"""),"")</f>
        <v/>
      </c>
    </row>
    <row r="47" spans="1:8" ht="12.75">
      <c r="A47" s="36" t="str">
        <f ca="1">IFERROR(__xludf.DUMMYFUNCTION("""COMPUTED_VALUE"""),"")</f>
        <v/>
      </c>
      <c r="B47" s="37"/>
      <c r="C47" s="54" t="str">
        <f ca="1">IFERROR(__xludf.DUMMYFUNCTION("""COMPUTED_VALUE"""),"")</f>
        <v/>
      </c>
      <c r="D47" s="54" t="str">
        <f ca="1">IFERROR(__xludf.DUMMYFUNCTION("""COMPUTED_VALUE"""),"")</f>
        <v/>
      </c>
      <c r="E47" s="57" t="str">
        <f ca="1">IFERROR(__xludf.DUMMYFUNCTION("""COMPUTED_VALUE"""),"")</f>
        <v/>
      </c>
      <c r="F47" s="54" t="str">
        <f ca="1">IFERROR(__xludf.DUMMYFUNCTION("""COMPUTED_VALUE"""),"")</f>
        <v/>
      </c>
      <c r="G47" s="38" t="str">
        <f ca="1">IFERROR(__xludf.DUMMYFUNCTION("""COMPUTED_VALUE"""),"")</f>
        <v/>
      </c>
      <c r="H47" t="str">
        <f ca="1">IFERROR(__xludf.DUMMYFUNCTION("""COMPUTED_VALUE"""),"")</f>
        <v/>
      </c>
    </row>
    <row r="48" spans="1:8" ht="12.75">
      <c r="A48" s="36" t="str">
        <f ca="1">IFERROR(__xludf.DUMMYFUNCTION("""COMPUTED_VALUE"""),"")</f>
        <v/>
      </c>
      <c r="B48" s="37"/>
      <c r="C48" s="54" t="str">
        <f ca="1">IFERROR(__xludf.DUMMYFUNCTION("""COMPUTED_VALUE"""),"")</f>
        <v/>
      </c>
      <c r="D48" s="54" t="str">
        <f ca="1">IFERROR(__xludf.DUMMYFUNCTION("""COMPUTED_VALUE"""),"")</f>
        <v/>
      </c>
      <c r="E48" s="57" t="str">
        <f ca="1">IFERROR(__xludf.DUMMYFUNCTION("""COMPUTED_VALUE"""),"")</f>
        <v/>
      </c>
      <c r="F48" s="54" t="str">
        <f ca="1">IFERROR(__xludf.DUMMYFUNCTION("""COMPUTED_VALUE"""),"")</f>
        <v/>
      </c>
      <c r="G48" s="38" t="str">
        <f ca="1">IFERROR(__xludf.DUMMYFUNCTION("""COMPUTED_VALUE"""),"")</f>
        <v/>
      </c>
      <c r="H48" t="str">
        <f ca="1">IFERROR(__xludf.DUMMYFUNCTION("""COMPUTED_VALUE"""),"")</f>
        <v/>
      </c>
    </row>
    <row r="49" spans="1:8" ht="12.75">
      <c r="A49" s="36" t="str">
        <f ca="1">IFERROR(__xludf.DUMMYFUNCTION("""COMPUTED_VALUE"""),"")</f>
        <v/>
      </c>
      <c r="B49" s="37"/>
      <c r="C49" s="54" t="str">
        <f ca="1">IFERROR(__xludf.DUMMYFUNCTION("""COMPUTED_VALUE"""),"")</f>
        <v/>
      </c>
      <c r="D49" s="54" t="str">
        <f ca="1">IFERROR(__xludf.DUMMYFUNCTION("""COMPUTED_VALUE"""),"")</f>
        <v/>
      </c>
      <c r="E49" s="57" t="str">
        <f ca="1">IFERROR(__xludf.DUMMYFUNCTION("""COMPUTED_VALUE"""),"")</f>
        <v/>
      </c>
      <c r="F49" s="54" t="str">
        <f ca="1">IFERROR(__xludf.DUMMYFUNCTION("""COMPUTED_VALUE"""),"")</f>
        <v/>
      </c>
      <c r="G49" s="38" t="str">
        <f ca="1">IFERROR(__xludf.DUMMYFUNCTION("""COMPUTED_VALUE"""),"")</f>
        <v/>
      </c>
      <c r="H49" t="str">
        <f ca="1">IFERROR(__xludf.DUMMYFUNCTION("""COMPUTED_VALUE"""),"")</f>
        <v/>
      </c>
    </row>
    <row r="50" spans="1:8" ht="12.75">
      <c r="A50" s="36" t="str">
        <f ca="1">IFERROR(__xludf.DUMMYFUNCTION("""COMPUTED_VALUE"""),"")</f>
        <v/>
      </c>
      <c r="B50" s="37"/>
      <c r="C50" s="54" t="str">
        <f ca="1">IFERROR(__xludf.DUMMYFUNCTION("""COMPUTED_VALUE"""),"")</f>
        <v/>
      </c>
      <c r="D50" s="54" t="str">
        <f ca="1">IFERROR(__xludf.DUMMYFUNCTION("""COMPUTED_VALUE"""),"")</f>
        <v/>
      </c>
      <c r="E50" s="57" t="str">
        <f ca="1">IFERROR(__xludf.DUMMYFUNCTION("""COMPUTED_VALUE"""),"")</f>
        <v/>
      </c>
      <c r="F50" s="54" t="str">
        <f ca="1">IFERROR(__xludf.DUMMYFUNCTION("""COMPUTED_VALUE"""),"")</f>
        <v/>
      </c>
      <c r="G50" s="38" t="str">
        <f ca="1">IFERROR(__xludf.DUMMYFUNCTION("""COMPUTED_VALUE"""),"")</f>
        <v/>
      </c>
      <c r="H50" t="str">
        <f ca="1">IFERROR(__xludf.DUMMYFUNCTION("""COMPUTED_VALUE"""),"")</f>
        <v/>
      </c>
    </row>
    <row r="51" spans="1:8" ht="12.75">
      <c r="A51" s="36" t="str">
        <f ca="1">IFERROR(__xludf.DUMMYFUNCTION("""COMPUTED_VALUE"""),"")</f>
        <v/>
      </c>
      <c r="B51" s="37"/>
      <c r="C51" s="54" t="str">
        <f ca="1">IFERROR(__xludf.DUMMYFUNCTION("""COMPUTED_VALUE"""),"")</f>
        <v/>
      </c>
      <c r="D51" s="54" t="str">
        <f ca="1">IFERROR(__xludf.DUMMYFUNCTION("""COMPUTED_VALUE"""),"")</f>
        <v/>
      </c>
      <c r="E51" s="57" t="str">
        <f ca="1">IFERROR(__xludf.DUMMYFUNCTION("""COMPUTED_VALUE"""),"")</f>
        <v/>
      </c>
      <c r="F51" s="54" t="str">
        <f ca="1">IFERROR(__xludf.DUMMYFUNCTION("""COMPUTED_VALUE"""),"")</f>
        <v/>
      </c>
      <c r="G51" s="38" t="str">
        <f ca="1">IFERROR(__xludf.DUMMYFUNCTION("""COMPUTED_VALUE"""),"")</f>
        <v/>
      </c>
      <c r="H51" t="str">
        <f ca="1">IFERROR(__xludf.DUMMYFUNCTION("""COMPUTED_VALUE"""),"")</f>
        <v/>
      </c>
    </row>
    <row r="52" spans="1:8" ht="12.75">
      <c r="A52" s="36" t="str">
        <f ca="1">IFERROR(__xludf.DUMMYFUNCTION("""COMPUTED_VALUE"""),"")</f>
        <v/>
      </c>
      <c r="B52" s="37"/>
      <c r="C52" s="54" t="str">
        <f ca="1">IFERROR(__xludf.DUMMYFUNCTION("""COMPUTED_VALUE"""),"")</f>
        <v/>
      </c>
      <c r="D52" s="54" t="str">
        <f ca="1">IFERROR(__xludf.DUMMYFUNCTION("""COMPUTED_VALUE"""),"")</f>
        <v/>
      </c>
      <c r="E52" s="57" t="str">
        <f ca="1">IFERROR(__xludf.DUMMYFUNCTION("""COMPUTED_VALUE"""),"")</f>
        <v/>
      </c>
      <c r="F52" s="54" t="str">
        <f ca="1">IFERROR(__xludf.DUMMYFUNCTION("""COMPUTED_VALUE"""),"")</f>
        <v/>
      </c>
      <c r="G52" s="38" t="str">
        <f ca="1">IFERROR(__xludf.DUMMYFUNCTION("""COMPUTED_VALUE"""),"")</f>
        <v/>
      </c>
      <c r="H52" t="str">
        <f ca="1">IFERROR(__xludf.DUMMYFUNCTION("""COMPUTED_VALUE"""),"")</f>
        <v/>
      </c>
    </row>
    <row r="53" spans="1:8" ht="12.75">
      <c r="A53" s="36" t="str">
        <f ca="1">IFERROR(__xludf.DUMMYFUNCTION("""COMPUTED_VALUE"""),"")</f>
        <v/>
      </c>
      <c r="B53" s="37"/>
      <c r="C53" s="54" t="str">
        <f ca="1">IFERROR(__xludf.DUMMYFUNCTION("""COMPUTED_VALUE"""),"")</f>
        <v/>
      </c>
      <c r="D53" s="54" t="str">
        <f ca="1">IFERROR(__xludf.DUMMYFUNCTION("""COMPUTED_VALUE"""),"")</f>
        <v/>
      </c>
      <c r="E53" s="57" t="str">
        <f ca="1">IFERROR(__xludf.DUMMYFUNCTION("""COMPUTED_VALUE"""),"")</f>
        <v/>
      </c>
      <c r="F53" s="54" t="str">
        <f ca="1">IFERROR(__xludf.DUMMYFUNCTION("""COMPUTED_VALUE"""),"")</f>
        <v/>
      </c>
      <c r="G53" s="38" t="str">
        <f ca="1">IFERROR(__xludf.DUMMYFUNCTION("""COMPUTED_VALUE"""),"")</f>
        <v/>
      </c>
      <c r="H53" t="str">
        <f ca="1">IFERROR(__xludf.DUMMYFUNCTION("""COMPUTED_VALUE"""),"")</f>
        <v/>
      </c>
    </row>
    <row r="54" spans="1:8" ht="12.75">
      <c r="A54" s="36" t="str">
        <f ca="1">IFERROR(__xludf.DUMMYFUNCTION("""COMPUTED_VALUE"""),"")</f>
        <v/>
      </c>
      <c r="B54" s="54"/>
      <c r="C54" s="54" t="str">
        <f ca="1">IFERROR(__xludf.DUMMYFUNCTION("""COMPUTED_VALUE"""),"")</f>
        <v/>
      </c>
      <c r="D54" s="54" t="str">
        <f ca="1">IFERROR(__xludf.DUMMYFUNCTION("""COMPUTED_VALUE"""),"")</f>
        <v/>
      </c>
      <c r="E54" s="57" t="str">
        <f ca="1">IFERROR(__xludf.DUMMYFUNCTION("""COMPUTED_VALUE"""),"")</f>
        <v/>
      </c>
      <c r="F54" s="54" t="str">
        <f ca="1">IFERROR(__xludf.DUMMYFUNCTION("""COMPUTED_VALUE"""),"")</f>
        <v/>
      </c>
      <c r="G54" s="38" t="str">
        <f ca="1">IFERROR(__xludf.DUMMYFUNCTION("""COMPUTED_VALUE"""),"")</f>
        <v/>
      </c>
      <c r="H54" t="str">
        <f ca="1">IFERROR(__xludf.DUMMYFUNCTION("""COMPUTED_VALUE"""),"")</f>
        <v/>
      </c>
    </row>
    <row r="55" spans="1:8" ht="12.75">
      <c r="A55" s="36" t="str">
        <f ca="1">IFERROR(__xludf.DUMMYFUNCTION("""COMPUTED_VALUE"""),"")</f>
        <v/>
      </c>
      <c r="B55" s="54"/>
      <c r="C55" s="54" t="str">
        <f ca="1">IFERROR(__xludf.DUMMYFUNCTION("""COMPUTED_VALUE"""),"")</f>
        <v/>
      </c>
      <c r="D55" s="54" t="str">
        <f ca="1">IFERROR(__xludf.DUMMYFUNCTION("""COMPUTED_VALUE"""),"")</f>
        <v/>
      </c>
      <c r="E55" s="57" t="str">
        <f ca="1">IFERROR(__xludf.DUMMYFUNCTION("""COMPUTED_VALUE"""),"")</f>
        <v/>
      </c>
      <c r="F55" s="54" t="str">
        <f ca="1">IFERROR(__xludf.DUMMYFUNCTION("""COMPUTED_VALUE"""),"")</f>
        <v/>
      </c>
      <c r="G55" s="38" t="str">
        <f ca="1">IFERROR(__xludf.DUMMYFUNCTION("""COMPUTED_VALUE"""),"")</f>
        <v/>
      </c>
      <c r="H55" t="str">
        <f ca="1">IFERROR(__xludf.DUMMYFUNCTION("""COMPUTED_VALUE"""),"")</f>
        <v/>
      </c>
    </row>
    <row r="56" spans="1:8" ht="12.75">
      <c r="A56" s="36" t="str">
        <f ca="1">IFERROR(__xludf.DUMMYFUNCTION("""COMPUTED_VALUE"""),"")</f>
        <v/>
      </c>
      <c r="B56" s="54"/>
      <c r="C56" s="54" t="str">
        <f ca="1">IFERROR(__xludf.DUMMYFUNCTION("""COMPUTED_VALUE"""),"")</f>
        <v/>
      </c>
      <c r="D56" s="54" t="str">
        <f ca="1">IFERROR(__xludf.DUMMYFUNCTION("""COMPUTED_VALUE"""),"")</f>
        <v/>
      </c>
      <c r="E56" s="57" t="str">
        <f ca="1">IFERROR(__xludf.DUMMYFUNCTION("""COMPUTED_VALUE"""),"")</f>
        <v/>
      </c>
      <c r="F56" s="54" t="str">
        <f ca="1">IFERROR(__xludf.DUMMYFUNCTION("""COMPUTED_VALUE"""),"")</f>
        <v/>
      </c>
      <c r="G56" s="38" t="str">
        <f ca="1">IFERROR(__xludf.DUMMYFUNCTION("""COMPUTED_VALUE"""),"")</f>
        <v/>
      </c>
      <c r="H56" t="str">
        <f ca="1">IFERROR(__xludf.DUMMYFUNCTION("""COMPUTED_VALUE"""),"")</f>
        <v/>
      </c>
    </row>
    <row r="57" spans="1:8" ht="12.75">
      <c r="A57" s="36" t="str">
        <f ca="1">IFERROR(__xludf.DUMMYFUNCTION("""COMPUTED_VALUE"""),"")</f>
        <v/>
      </c>
      <c r="B57" s="54"/>
      <c r="C57" s="54" t="str">
        <f ca="1">IFERROR(__xludf.DUMMYFUNCTION("""COMPUTED_VALUE"""),"")</f>
        <v/>
      </c>
      <c r="D57" s="54" t="str">
        <f ca="1">IFERROR(__xludf.DUMMYFUNCTION("""COMPUTED_VALUE"""),"")</f>
        <v/>
      </c>
      <c r="E57" s="57" t="str">
        <f ca="1">IFERROR(__xludf.DUMMYFUNCTION("""COMPUTED_VALUE"""),"")</f>
        <v/>
      </c>
      <c r="F57" s="54" t="str">
        <f ca="1">IFERROR(__xludf.DUMMYFUNCTION("""COMPUTED_VALUE"""),"")</f>
        <v/>
      </c>
      <c r="G57" s="38" t="str">
        <f ca="1">IFERROR(__xludf.DUMMYFUNCTION("""COMPUTED_VALUE"""),"")</f>
        <v/>
      </c>
      <c r="H57" t="str">
        <f ca="1">IFERROR(__xludf.DUMMYFUNCTION("""COMPUTED_VALUE"""),"")</f>
        <v/>
      </c>
    </row>
    <row r="58" spans="1:8" ht="12.75">
      <c r="A58" s="36" t="str">
        <f ca="1">IFERROR(__xludf.DUMMYFUNCTION("""COMPUTED_VALUE"""),"")</f>
        <v/>
      </c>
      <c r="B58" s="54"/>
      <c r="C58" s="54" t="str">
        <f ca="1">IFERROR(__xludf.DUMMYFUNCTION("""COMPUTED_VALUE"""),"")</f>
        <v/>
      </c>
      <c r="D58" s="54" t="str">
        <f ca="1">IFERROR(__xludf.DUMMYFUNCTION("""COMPUTED_VALUE"""),"")</f>
        <v/>
      </c>
      <c r="E58" s="57" t="str">
        <f ca="1">IFERROR(__xludf.DUMMYFUNCTION("""COMPUTED_VALUE"""),"")</f>
        <v/>
      </c>
      <c r="F58" s="54" t="str">
        <f ca="1">IFERROR(__xludf.DUMMYFUNCTION("""COMPUTED_VALUE"""),"")</f>
        <v/>
      </c>
      <c r="G58" s="38" t="str">
        <f ca="1">IFERROR(__xludf.DUMMYFUNCTION("""COMPUTED_VALUE"""),"")</f>
        <v/>
      </c>
      <c r="H58" t="str">
        <f ca="1">IFERROR(__xludf.DUMMYFUNCTION("""COMPUTED_VALUE"""),"")</f>
        <v/>
      </c>
    </row>
    <row r="59" spans="1:8" ht="12.75">
      <c r="A59" s="36" t="str">
        <f ca="1">IFERROR(__xludf.DUMMYFUNCTION("""COMPUTED_VALUE"""),"")</f>
        <v/>
      </c>
      <c r="B59" s="54"/>
      <c r="C59" s="54" t="str">
        <f ca="1">IFERROR(__xludf.DUMMYFUNCTION("""COMPUTED_VALUE"""),"")</f>
        <v/>
      </c>
      <c r="D59" s="54" t="str">
        <f ca="1">IFERROR(__xludf.DUMMYFUNCTION("""COMPUTED_VALUE"""),"")</f>
        <v/>
      </c>
      <c r="E59" s="57" t="str">
        <f ca="1">IFERROR(__xludf.DUMMYFUNCTION("""COMPUTED_VALUE"""),"")</f>
        <v/>
      </c>
      <c r="F59" s="54" t="str">
        <f ca="1">IFERROR(__xludf.DUMMYFUNCTION("""COMPUTED_VALUE"""),"")</f>
        <v/>
      </c>
      <c r="G59" s="38" t="str">
        <f ca="1">IFERROR(__xludf.DUMMYFUNCTION("""COMPUTED_VALUE"""),"")</f>
        <v/>
      </c>
      <c r="H59" t="str">
        <f ca="1">IFERROR(__xludf.DUMMYFUNCTION("""COMPUTED_VALUE"""),"")</f>
        <v/>
      </c>
    </row>
    <row r="60" spans="1:8" ht="12.75">
      <c r="A60" s="36" t="str">
        <f ca="1">IFERROR(__xludf.DUMMYFUNCTION("""COMPUTED_VALUE"""),"")</f>
        <v/>
      </c>
      <c r="B60" s="54"/>
      <c r="C60" s="54" t="str">
        <f ca="1">IFERROR(__xludf.DUMMYFUNCTION("""COMPUTED_VALUE"""),"")</f>
        <v/>
      </c>
      <c r="D60" s="54" t="str">
        <f ca="1">IFERROR(__xludf.DUMMYFUNCTION("""COMPUTED_VALUE"""),"")</f>
        <v/>
      </c>
      <c r="E60" s="57" t="str">
        <f ca="1">IFERROR(__xludf.DUMMYFUNCTION("""COMPUTED_VALUE"""),"")</f>
        <v/>
      </c>
      <c r="F60" s="54" t="str">
        <f ca="1">IFERROR(__xludf.DUMMYFUNCTION("""COMPUTED_VALUE"""),"")</f>
        <v/>
      </c>
      <c r="G60" s="38" t="str">
        <f ca="1">IFERROR(__xludf.DUMMYFUNCTION("""COMPUTED_VALUE"""),"")</f>
        <v/>
      </c>
      <c r="H60" t="str">
        <f ca="1">IFERROR(__xludf.DUMMYFUNCTION("""COMPUTED_VALUE"""),"")</f>
        <v/>
      </c>
    </row>
    <row r="61" spans="1:8" ht="12.75">
      <c r="A61" s="36" t="str">
        <f ca="1">IFERROR(__xludf.DUMMYFUNCTION("""COMPUTED_VALUE"""),"")</f>
        <v/>
      </c>
      <c r="B61" s="54"/>
      <c r="C61" s="54" t="str">
        <f ca="1">IFERROR(__xludf.DUMMYFUNCTION("""COMPUTED_VALUE"""),"")</f>
        <v/>
      </c>
      <c r="D61" s="54" t="str">
        <f ca="1">IFERROR(__xludf.DUMMYFUNCTION("""COMPUTED_VALUE"""),"")</f>
        <v/>
      </c>
      <c r="E61" s="57" t="str">
        <f ca="1">IFERROR(__xludf.DUMMYFUNCTION("""COMPUTED_VALUE"""),"")</f>
        <v/>
      </c>
      <c r="F61" s="54" t="str">
        <f ca="1">IFERROR(__xludf.DUMMYFUNCTION("""COMPUTED_VALUE"""),"")</f>
        <v/>
      </c>
      <c r="G61" s="38" t="str">
        <f ca="1">IFERROR(__xludf.DUMMYFUNCTION("""COMPUTED_VALUE"""),"")</f>
        <v/>
      </c>
      <c r="H61" t="str">
        <f ca="1">IFERROR(__xludf.DUMMYFUNCTION("""COMPUTED_VALUE"""),"")</f>
        <v/>
      </c>
    </row>
    <row r="62" spans="1:8" ht="12.75">
      <c r="A62" s="36" t="str">
        <f ca="1">IFERROR(__xludf.DUMMYFUNCTION("""COMPUTED_VALUE"""),"")</f>
        <v/>
      </c>
      <c r="B62" s="54"/>
      <c r="C62" s="54" t="str">
        <f ca="1">IFERROR(__xludf.DUMMYFUNCTION("""COMPUTED_VALUE"""),"")</f>
        <v/>
      </c>
      <c r="D62" s="54" t="str">
        <f ca="1">IFERROR(__xludf.DUMMYFUNCTION("""COMPUTED_VALUE"""),"")</f>
        <v/>
      </c>
      <c r="E62" s="57" t="str">
        <f ca="1">IFERROR(__xludf.DUMMYFUNCTION("""COMPUTED_VALUE"""),"")</f>
        <v/>
      </c>
      <c r="F62" s="54" t="str">
        <f ca="1">IFERROR(__xludf.DUMMYFUNCTION("""COMPUTED_VALUE"""),"")</f>
        <v/>
      </c>
      <c r="G62" s="38" t="str">
        <f ca="1">IFERROR(__xludf.DUMMYFUNCTION("""COMPUTED_VALUE"""),"")</f>
        <v/>
      </c>
      <c r="H62" t="str">
        <f ca="1">IFERROR(__xludf.DUMMYFUNCTION("""COMPUTED_VALUE"""),"")</f>
        <v/>
      </c>
    </row>
    <row r="63" spans="1:8" ht="12.75">
      <c r="A63" s="36" t="str">
        <f ca="1">IFERROR(__xludf.DUMMYFUNCTION("""COMPUTED_VALUE"""),"")</f>
        <v/>
      </c>
      <c r="B63" s="54"/>
      <c r="C63" s="54" t="str">
        <f ca="1">IFERROR(__xludf.DUMMYFUNCTION("""COMPUTED_VALUE"""),"")</f>
        <v/>
      </c>
      <c r="D63" s="54" t="str">
        <f ca="1">IFERROR(__xludf.DUMMYFUNCTION("""COMPUTED_VALUE"""),"")</f>
        <v/>
      </c>
      <c r="E63" s="57" t="str">
        <f ca="1">IFERROR(__xludf.DUMMYFUNCTION("""COMPUTED_VALUE"""),"")</f>
        <v/>
      </c>
      <c r="F63" s="54" t="str">
        <f ca="1">IFERROR(__xludf.DUMMYFUNCTION("""COMPUTED_VALUE"""),"")</f>
        <v/>
      </c>
      <c r="G63" s="38" t="str">
        <f ca="1">IFERROR(__xludf.DUMMYFUNCTION("""COMPUTED_VALUE"""),"")</f>
        <v/>
      </c>
      <c r="H63" t="str">
        <f ca="1">IFERROR(__xludf.DUMMYFUNCTION("""COMPUTED_VALUE"""),"")</f>
        <v/>
      </c>
    </row>
    <row r="64" spans="1:8" ht="12.75">
      <c r="A64" s="36" t="str">
        <f ca="1">IFERROR(__xludf.DUMMYFUNCTION("""COMPUTED_VALUE"""),"")</f>
        <v/>
      </c>
      <c r="B64" s="54"/>
      <c r="C64" s="54" t="str">
        <f ca="1">IFERROR(__xludf.DUMMYFUNCTION("""COMPUTED_VALUE"""),"")</f>
        <v/>
      </c>
      <c r="D64" s="54" t="str">
        <f ca="1">IFERROR(__xludf.DUMMYFUNCTION("""COMPUTED_VALUE"""),"")</f>
        <v/>
      </c>
      <c r="E64" s="57" t="str">
        <f ca="1">IFERROR(__xludf.DUMMYFUNCTION("""COMPUTED_VALUE"""),"")</f>
        <v/>
      </c>
      <c r="F64" s="54" t="str">
        <f ca="1">IFERROR(__xludf.DUMMYFUNCTION("""COMPUTED_VALUE"""),"")</f>
        <v/>
      </c>
      <c r="G64" s="38" t="str">
        <f ca="1">IFERROR(__xludf.DUMMYFUNCTION("""COMPUTED_VALUE"""),"")</f>
        <v/>
      </c>
      <c r="H64" t="str">
        <f ca="1">IFERROR(__xludf.DUMMYFUNCTION("""COMPUTED_VALUE"""),"")</f>
        <v/>
      </c>
    </row>
    <row r="65" spans="1:8" ht="12.75">
      <c r="A65" s="36" t="str">
        <f ca="1">IFERROR(__xludf.DUMMYFUNCTION("""COMPUTED_VALUE"""),"")</f>
        <v/>
      </c>
      <c r="B65" s="54"/>
      <c r="C65" s="54" t="str">
        <f ca="1">IFERROR(__xludf.DUMMYFUNCTION("""COMPUTED_VALUE"""),"")</f>
        <v/>
      </c>
      <c r="D65" s="54" t="str">
        <f ca="1">IFERROR(__xludf.DUMMYFUNCTION("""COMPUTED_VALUE"""),"")</f>
        <v/>
      </c>
      <c r="E65" s="57" t="str">
        <f ca="1">IFERROR(__xludf.DUMMYFUNCTION("""COMPUTED_VALUE"""),"")</f>
        <v/>
      </c>
      <c r="F65" s="54" t="str">
        <f ca="1">IFERROR(__xludf.DUMMYFUNCTION("""COMPUTED_VALUE"""),"")</f>
        <v/>
      </c>
      <c r="G65" s="38" t="str">
        <f ca="1">IFERROR(__xludf.DUMMYFUNCTION("""COMPUTED_VALUE"""),"")</f>
        <v/>
      </c>
      <c r="H65" t="str">
        <f ca="1">IFERROR(__xludf.DUMMYFUNCTION("""COMPUTED_VALUE"""),"")</f>
        <v/>
      </c>
    </row>
    <row r="66" spans="1:8" ht="12.75">
      <c r="A66" s="36" t="str">
        <f ca="1">IFERROR(__xludf.DUMMYFUNCTION("""COMPUTED_VALUE"""),"")</f>
        <v/>
      </c>
      <c r="B66" s="54"/>
      <c r="C66" s="54" t="str">
        <f ca="1">IFERROR(__xludf.DUMMYFUNCTION("""COMPUTED_VALUE"""),"")</f>
        <v/>
      </c>
      <c r="D66" s="54" t="str">
        <f ca="1">IFERROR(__xludf.DUMMYFUNCTION("""COMPUTED_VALUE"""),"")</f>
        <v/>
      </c>
      <c r="E66" s="57" t="str">
        <f ca="1">IFERROR(__xludf.DUMMYFUNCTION("""COMPUTED_VALUE"""),"")</f>
        <v/>
      </c>
      <c r="F66" s="54" t="str">
        <f ca="1">IFERROR(__xludf.DUMMYFUNCTION("""COMPUTED_VALUE"""),"")</f>
        <v/>
      </c>
      <c r="G66" s="38" t="str">
        <f ca="1">IFERROR(__xludf.DUMMYFUNCTION("""COMPUTED_VALUE"""),"")</f>
        <v/>
      </c>
      <c r="H66" t="str">
        <f ca="1">IFERROR(__xludf.DUMMYFUNCTION("""COMPUTED_VALUE"""),"")</f>
        <v/>
      </c>
    </row>
    <row r="67" spans="1:8" ht="12.75">
      <c r="A67" s="36" t="str">
        <f ca="1">IFERROR(__xludf.DUMMYFUNCTION("""COMPUTED_VALUE"""),"")</f>
        <v/>
      </c>
      <c r="B67" s="54"/>
      <c r="C67" s="54" t="str">
        <f ca="1">IFERROR(__xludf.DUMMYFUNCTION("""COMPUTED_VALUE"""),"")</f>
        <v/>
      </c>
      <c r="D67" s="54" t="str">
        <f ca="1">IFERROR(__xludf.DUMMYFUNCTION("""COMPUTED_VALUE"""),"")</f>
        <v/>
      </c>
      <c r="E67" s="57" t="str">
        <f ca="1">IFERROR(__xludf.DUMMYFUNCTION("""COMPUTED_VALUE"""),"")</f>
        <v/>
      </c>
      <c r="F67" s="54" t="str">
        <f ca="1">IFERROR(__xludf.DUMMYFUNCTION("""COMPUTED_VALUE"""),"")</f>
        <v/>
      </c>
      <c r="G67" s="38" t="str">
        <f ca="1">IFERROR(__xludf.DUMMYFUNCTION("""COMPUTED_VALUE"""),"")</f>
        <v/>
      </c>
      <c r="H67" t="str">
        <f ca="1">IFERROR(__xludf.DUMMYFUNCTION("""COMPUTED_VALUE"""),"")</f>
        <v/>
      </c>
    </row>
    <row r="68" spans="1:8" ht="12.75">
      <c r="A68" s="36" t="str">
        <f ca="1">IFERROR(__xludf.DUMMYFUNCTION("""COMPUTED_VALUE"""),"")</f>
        <v/>
      </c>
      <c r="B68" s="54"/>
      <c r="C68" s="54" t="str">
        <f ca="1">IFERROR(__xludf.DUMMYFUNCTION("""COMPUTED_VALUE"""),"")</f>
        <v/>
      </c>
      <c r="D68" s="54" t="str">
        <f ca="1">IFERROR(__xludf.DUMMYFUNCTION("""COMPUTED_VALUE"""),"")</f>
        <v/>
      </c>
      <c r="E68" s="57" t="str">
        <f ca="1">IFERROR(__xludf.DUMMYFUNCTION("""COMPUTED_VALUE"""),"")</f>
        <v/>
      </c>
      <c r="F68" s="54" t="str">
        <f ca="1">IFERROR(__xludf.DUMMYFUNCTION("""COMPUTED_VALUE"""),"")</f>
        <v/>
      </c>
      <c r="G68" s="38" t="str">
        <f ca="1">IFERROR(__xludf.DUMMYFUNCTION("""COMPUTED_VALUE"""),"")</f>
        <v/>
      </c>
      <c r="H68" t="str">
        <f ca="1">IFERROR(__xludf.DUMMYFUNCTION("""COMPUTED_VALUE"""),"")</f>
        <v/>
      </c>
    </row>
    <row r="69" spans="1:8" ht="12.75">
      <c r="A69" s="36" t="str">
        <f ca="1">IFERROR(__xludf.DUMMYFUNCTION("""COMPUTED_VALUE"""),"")</f>
        <v/>
      </c>
      <c r="B69" s="54"/>
      <c r="C69" s="54" t="str">
        <f ca="1">IFERROR(__xludf.DUMMYFUNCTION("""COMPUTED_VALUE"""),"")</f>
        <v/>
      </c>
      <c r="D69" s="54" t="str">
        <f ca="1">IFERROR(__xludf.DUMMYFUNCTION("""COMPUTED_VALUE"""),"")</f>
        <v/>
      </c>
      <c r="E69" s="57" t="str">
        <f ca="1">IFERROR(__xludf.DUMMYFUNCTION("""COMPUTED_VALUE"""),"")</f>
        <v/>
      </c>
      <c r="F69" s="54" t="str">
        <f ca="1">IFERROR(__xludf.DUMMYFUNCTION("""COMPUTED_VALUE"""),"")</f>
        <v/>
      </c>
      <c r="G69" s="38" t="str">
        <f ca="1">IFERROR(__xludf.DUMMYFUNCTION("""COMPUTED_VALUE"""),"")</f>
        <v/>
      </c>
      <c r="H69" t="str">
        <f ca="1">IFERROR(__xludf.DUMMYFUNCTION("""COMPUTED_VALUE"""),"")</f>
        <v/>
      </c>
    </row>
    <row r="70" spans="1:8" ht="12.75">
      <c r="A70" s="36" t="str">
        <f ca="1">IFERROR(__xludf.DUMMYFUNCTION("""COMPUTED_VALUE"""),"")</f>
        <v/>
      </c>
      <c r="B70" s="54"/>
      <c r="C70" s="54" t="str">
        <f ca="1">IFERROR(__xludf.DUMMYFUNCTION("""COMPUTED_VALUE"""),"")</f>
        <v/>
      </c>
      <c r="D70" s="54" t="str">
        <f ca="1">IFERROR(__xludf.DUMMYFUNCTION("""COMPUTED_VALUE"""),"")</f>
        <v/>
      </c>
      <c r="E70" s="57" t="str">
        <f ca="1">IFERROR(__xludf.DUMMYFUNCTION("""COMPUTED_VALUE"""),"")</f>
        <v/>
      </c>
      <c r="F70" s="54" t="str">
        <f ca="1">IFERROR(__xludf.DUMMYFUNCTION("""COMPUTED_VALUE"""),"")</f>
        <v/>
      </c>
      <c r="G70" s="38" t="str">
        <f ca="1">IFERROR(__xludf.DUMMYFUNCTION("""COMPUTED_VALUE"""),"")</f>
        <v/>
      </c>
      <c r="H70" t="str">
        <f ca="1">IFERROR(__xludf.DUMMYFUNCTION("""COMPUTED_VALUE"""),"")</f>
        <v/>
      </c>
    </row>
    <row r="71" spans="1:8" ht="12.75">
      <c r="A71" s="36" t="str">
        <f ca="1">IFERROR(__xludf.DUMMYFUNCTION("""COMPUTED_VALUE"""),"")</f>
        <v/>
      </c>
      <c r="B71" s="54"/>
      <c r="C71" s="54" t="str">
        <f ca="1">IFERROR(__xludf.DUMMYFUNCTION("""COMPUTED_VALUE"""),"")</f>
        <v/>
      </c>
      <c r="D71" s="54" t="str">
        <f ca="1">IFERROR(__xludf.DUMMYFUNCTION("""COMPUTED_VALUE"""),"")</f>
        <v/>
      </c>
      <c r="E71" s="57" t="str">
        <f ca="1">IFERROR(__xludf.DUMMYFUNCTION("""COMPUTED_VALUE"""),"")</f>
        <v/>
      </c>
      <c r="F71" s="54" t="str">
        <f ca="1">IFERROR(__xludf.DUMMYFUNCTION("""COMPUTED_VALUE"""),"")</f>
        <v/>
      </c>
      <c r="G71" s="38" t="str">
        <f ca="1">IFERROR(__xludf.DUMMYFUNCTION("""COMPUTED_VALUE"""),"")</f>
        <v/>
      </c>
      <c r="H71" t="str">
        <f ca="1">IFERROR(__xludf.DUMMYFUNCTION("""COMPUTED_VALUE"""),"")</f>
        <v/>
      </c>
    </row>
    <row r="72" spans="1:8" ht="12.75">
      <c r="A72" s="36" t="str">
        <f ca="1">IFERROR(__xludf.DUMMYFUNCTION("""COMPUTED_VALUE"""),"")</f>
        <v/>
      </c>
      <c r="B72" s="54"/>
      <c r="C72" s="54" t="str">
        <f ca="1">IFERROR(__xludf.DUMMYFUNCTION("""COMPUTED_VALUE"""),"")</f>
        <v/>
      </c>
      <c r="D72" s="54" t="str">
        <f ca="1">IFERROR(__xludf.DUMMYFUNCTION("""COMPUTED_VALUE"""),"")</f>
        <v/>
      </c>
      <c r="E72" s="57" t="str">
        <f ca="1">IFERROR(__xludf.DUMMYFUNCTION("""COMPUTED_VALUE"""),"")</f>
        <v/>
      </c>
      <c r="F72" s="54" t="str">
        <f ca="1">IFERROR(__xludf.DUMMYFUNCTION("""COMPUTED_VALUE"""),"")</f>
        <v/>
      </c>
      <c r="G72" s="38" t="str">
        <f ca="1">IFERROR(__xludf.DUMMYFUNCTION("""COMPUTED_VALUE"""),"")</f>
        <v/>
      </c>
      <c r="H72" t="str">
        <f ca="1">IFERROR(__xludf.DUMMYFUNCTION("""COMPUTED_VALUE"""),"")</f>
        <v/>
      </c>
    </row>
    <row r="73" spans="1:8" ht="12.75">
      <c r="A73" s="36" t="str">
        <f ca="1">IFERROR(__xludf.DUMMYFUNCTION("""COMPUTED_VALUE"""),"")</f>
        <v/>
      </c>
      <c r="B73" s="54"/>
      <c r="C73" s="54" t="str">
        <f ca="1">IFERROR(__xludf.DUMMYFUNCTION("""COMPUTED_VALUE"""),"")</f>
        <v/>
      </c>
      <c r="D73" s="54" t="str">
        <f ca="1">IFERROR(__xludf.DUMMYFUNCTION("""COMPUTED_VALUE"""),"")</f>
        <v/>
      </c>
      <c r="E73" s="57" t="str">
        <f ca="1">IFERROR(__xludf.DUMMYFUNCTION("""COMPUTED_VALUE"""),"")</f>
        <v/>
      </c>
      <c r="F73" s="54" t="str">
        <f ca="1">IFERROR(__xludf.DUMMYFUNCTION("""COMPUTED_VALUE"""),"")</f>
        <v/>
      </c>
      <c r="G73" s="38" t="str">
        <f ca="1">IFERROR(__xludf.DUMMYFUNCTION("""COMPUTED_VALUE"""),"")</f>
        <v/>
      </c>
      <c r="H73" t="str">
        <f ca="1">IFERROR(__xludf.DUMMYFUNCTION("""COMPUTED_VALUE"""),"")</f>
        <v/>
      </c>
    </row>
    <row r="74" spans="1:8" ht="12.75">
      <c r="A74" s="36" t="str">
        <f ca="1">IFERROR(__xludf.DUMMYFUNCTION("""COMPUTED_VALUE"""),"")</f>
        <v/>
      </c>
      <c r="B74" s="54"/>
      <c r="C74" s="54" t="str">
        <f ca="1">IFERROR(__xludf.DUMMYFUNCTION("""COMPUTED_VALUE"""),"")</f>
        <v/>
      </c>
      <c r="D74" s="54" t="str">
        <f ca="1">IFERROR(__xludf.DUMMYFUNCTION("""COMPUTED_VALUE"""),"")</f>
        <v/>
      </c>
      <c r="E74" s="57" t="str">
        <f ca="1">IFERROR(__xludf.DUMMYFUNCTION("""COMPUTED_VALUE"""),"")</f>
        <v/>
      </c>
      <c r="F74" s="54" t="str">
        <f ca="1">IFERROR(__xludf.DUMMYFUNCTION("""COMPUTED_VALUE"""),"")</f>
        <v/>
      </c>
      <c r="G74" s="38" t="str">
        <f ca="1">IFERROR(__xludf.DUMMYFUNCTION("""COMPUTED_VALUE"""),"")</f>
        <v/>
      </c>
      <c r="H74" t="str">
        <f ca="1">IFERROR(__xludf.DUMMYFUNCTION("""COMPUTED_VALUE"""),"")</f>
        <v/>
      </c>
    </row>
    <row r="75" spans="1:8" ht="12.75">
      <c r="A75" s="36" t="str">
        <f ca="1">IFERROR(__xludf.DUMMYFUNCTION("""COMPUTED_VALUE"""),"")</f>
        <v/>
      </c>
      <c r="B75" s="54"/>
      <c r="C75" s="54" t="str">
        <f ca="1">IFERROR(__xludf.DUMMYFUNCTION("""COMPUTED_VALUE"""),"")</f>
        <v/>
      </c>
      <c r="D75" s="54" t="str">
        <f ca="1">IFERROR(__xludf.DUMMYFUNCTION("""COMPUTED_VALUE"""),"")</f>
        <v/>
      </c>
      <c r="E75" s="57" t="str">
        <f ca="1">IFERROR(__xludf.DUMMYFUNCTION("""COMPUTED_VALUE"""),"")</f>
        <v/>
      </c>
      <c r="F75" s="54" t="str">
        <f ca="1">IFERROR(__xludf.DUMMYFUNCTION("""COMPUTED_VALUE"""),"")</f>
        <v/>
      </c>
      <c r="G75" s="38" t="str">
        <f ca="1">IFERROR(__xludf.DUMMYFUNCTION("""COMPUTED_VALUE"""),"")</f>
        <v/>
      </c>
      <c r="H75" t="str">
        <f ca="1">IFERROR(__xludf.DUMMYFUNCTION("""COMPUTED_VALUE"""),"")</f>
        <v/>
      </c>
    </row>
    <row r="76" spans="1:8" ht="12.75">
      <c r="A76" s="36" t="str">
        <f ca="1">IFERROR(__xludf.DUMMYFUNCTION("""COMPUTED_VALUE"""),"")</f>
        <v/>
      </c>
      <c r="B76" s="54"/>
      <c r="C76" s="54" t="str">
        <f ca="1">IFERROR(__xludf.DUMMYFUNCTION("""COMPUTED_VALUE"""),"")</f>
        <v/>
      </c>
      <c r="D76" s="54" t="str">
        <f ca="1">IFERROR(__xludf.DUMMYFUNCTION("""COMPUTED_VALUE"""),"")</f>
        <v/>
      </c>
      <c r="E76" s="57" t="str">
        <f ca="1">IFERROR(__xludf.DUMMYFUNCTION("""COMPUTED_VALUE"""),"")</f>
        <v/>
      </c>
      <c r="F76" s="54" t="str">
        <f ca="1">IFERROR(__xludf.DUMMYFUNCTION("""COMPUTED_VALUE"""),"")</f>
        <v/>
      </c>
      <c r="G76" s="38" t="str">
        <f ca="1">IFERROR(__xludf.DUMMYFUNCTION("""COMPUTED_VALUE"""),"")</f>
        <v/>
      </c>
      <c r="H76" t="str">
        <f ca="1">IFERROR(__xludf.DUMMYFUNCTION("""COMPUTED_VALUE"""),"")</f>
        <v/>
      </c>
    </row>
    <row r="77" spans="1:8" ht="12.75">
      <c r="A77" s="36" t="str">
        <f ca="1">IFERROR(__xludf.DUMMYFUNCTION("""COMPUTED_VALUE"""),"")</f>
        <v/>
      </c>
      <c r="B77" s="54"/>
      <c r="C77" s="54" t="str">
        <f ca="1">IFERROR(__xludf.DUMMYFUNCTION("""COMPUTED_VALUE"""),"")</f>
        <v/>
      </c>
      <c r="D77" s="54" t="str">
        <f ca="1">IFERROR(__xludf.DUMMYFUNCTION("""COMPUTED_VALUE"""),"")</f>
        <v/>
      </c>
      <c r="E77" s="57" t="str">
        <f ca="1">IFERROR(__xludf.DUMMYFUNCTION("""COMPUTED_VALUE"""),"")</f>
        <v/>
      </c>
      <c r="F77" s="54" t="str">
        <f ca="1">IFERROR(__xludf.DUMMYFUNCTION("""COMPUTED_VALUE"""),"")</f>
        <v/>
      </c>
      <c r="G77" s="38" t="str">
        <f ca="1">IFERROR(__xludf.DUMMYFUNCTION("""COMPUTED_VALUE"""),"")</f>
        <v/>
      </c>
      <c r="H77" t="str">
        <f ca="1">IFERROR(__xludf.DUMMYFUNCTION("""COMPUTED_VALUE"""),"")</f>
        <v/>
      </c>
    </row>
    <row r="78" spans="1:8" ht="12.75">
      <c r="A78" s="36" t="str">
        <f ca="1">IFERROR(__xludf.DUMMYFUNCTION("""COMPUTED_VALUE"""),"")</f>
        <v/>
      </c>
      <c r="B78" s="54"/>
      <c r="C78" s="54" t="str">
        <f ca="1">IFERROR(__xludf.DUMMYFUNCTION("""COMPUTED_VALUE"""),"")</f>
        <v/>
      </c>
      <c r="D78" s="54" t="str">
        <f ca="1">IFERROR(__xludf.DUMMYFUNCTION("""COMPUTED_VALUE"""),"")</f>
        <v/>
      </c>
      <c r="E78" s="57" t="str">
        <f ca="1">IFERROR(__xludf.DUMMYFUNCTION("""COMPUTED_VALUE"""),"")</f>
        <v/>
      </c>
      <c r="F78" s="54" t="str">
        <f ca="1">IFERROR(__xludf.DUMMYFUNCTION("""COMPUTED_VALUE"""),"")</f>
        <v/>
      </c>
      <c r="G78" s="38" t="str">
        <f ca="1">IFERROR(__xludf.DUMMYFUNCTION("""COMPUTED_VALUE"""),"")</f>
        <v/>
      </c>
      <c r="H78" t="str">
        <f ca="1">IFERROR(__xludf.DUMMYFUNCTION("""COMPUTED_VALUE"""),"")</f>
        <v/>
      </c>
    </row>
    <row r="79" spans="1:8" ht="12.75">
      <c r="A79" s="36" t="str">
        <f ca="1">IFERROR(__xludf.DUMMYFUNCTION("""COMPUTED_VALUE"""),"")</f>
        <v/>
      </c>
      <c r="B79" s="54"/>
      <c r="C79" s="54" t="str">
        <f ca="1">IFERROR(__xludf.DUMMYFUNCTION("""COMPUTED_VALUE"""),"")</f>
        <v/>
      </c>
      <c r="D79" s="54" t="str">
        <f ca="1">IFERROR(__xludf.DUMMYFUNCTION("""COMPUTED_VALUE"""),"")</f>
        <v/>
      </c>
      <c r="E79" s="57" t="str">
        <f ca="1">IFERROR(__xludf.DUMMYFUNCTION("""COMPUTED_VALUE"""),"")</f>
        <v/>
      </c>
      <c r="F79" s="54" t="str">
        <f ca="1">IFERROR(__xludf.DUMMYFUNCTION("""COMPUTED_VALUE"""),"")</f>
        <v/>
      </c>
      <c r="G79" s="38" t="str">
        <f ca="1">IFERROR(__xludf.DUMMYFUNCTION("""COMPUTED_VALUE"""),"")</f>
        <v/>
      </c>
      <c r="H79" t="str">
        <f ca="1">IFERROR(__xludf.DUMMYFUNCTION("""COMPUTED_VALUE"""),"")</f>
        <v/>
      </c>
    </row>
    <row r="80" spans="1:8" ht="12.75">
      <c r="A80" s="36" t="str">
        <f ca="1">IFERROR(__xludf.DUMMYFUNCTION("""COMPUTED_VALUE"""),"")</f>
        <v/>
      </c>
      <c r="B80" s="54"/>
      <c r="C80" s="54" t="str">
        <f ca="1">IFERROR(__xludf.DUMMYFUNCTION("""COMPUTED_VALUE"""),"")</f>
        <v/>
      </c>
      <c r="D80" s="54" t="str">
        <f ca="1">IFERROR(__xludf.DUMMYFUNCTION("""COMPUTED_VALUE"""),"")</f>
        <v/>
      </c>
      <c r="E80" s="57" t="str">
        <f ca="1">IFERROR(__xludf.DUMMYFUNCTION("""COMPUTED_VALUE"""),"")</f>
        <v/>
      </c>
      <c r="F80" s="54" t="str">
        <f ca="1">IFERROR(__xludf.DUMMYFUNCTION("""COMPUTED_VALUE"""),"")</f>
        <v/>
      </c>
      <c r="G80" s="38" t="str">
        <f ca="1">IFERROR(__xludf.DUMMYFUNCTION("""COMPUTED_VALUE"""),"")</f>
        <v/>
      </c>
      <c r="H80" t="str">
        <f ca="1">IFERROR(__xludf.DUMMYFUNCTION("""COMPUTED_VALUE"""),"")</f>
        <v/>
      </c>
    </row>
    <row r="81" spans="1:8" ht="12.75">
      <c r="A81" s="36" t="str">
        <f ca="1">IFERROR(__xludf.DUMMYFUNCTION("""COMPUTED_VALUE"""),"")</f>
        <v/>
      </c>
      <c r="B81" s="54"/>
      <c r="C81" s="54" t="str">
        <f ca="1">IFERROR(__xludf.DUMMYFUNCTION("""COMPUTED_VALUE"""),"")</f>
        <v/>
      </c>
      <c r="D81" s="54" t="str">
        <f ca="1">IFERROR(__xludf.DUMMYFUNCTION("""COMPUTED_VALUE"""),"")</f>
        <v/>
      </c>
      <c r="E81" s="57" t="str">
        <f ca="1">IFERROR(__xludf.DUMMYFUNCTION("""COMPUTED_VALUE"""),"")</f>
        <v/>
      </c>
      <c r="F81" s="54" t="str">
        <f ca="1">IFERROR(__xludf.DUMMYFUNCTION("""COMPUTED_VALUE"""),"")</f>
        <v/>
      </c>
      <c r="G81" s="38" t="str">
        <f ca="1">IFERROR(__xludf.DUMMYFUNCTION("""COMPUTED_VALUE"""),"")</f>
        <v/>
      </c>
      <c r="H81" t="str">
        <f ca="1">IFERROR(__xludf.DUMMYFUNCTION("""COMPUTED_VALUE"""),"")</f>
        <v/>
      </c>
    </row>
    <row r="82" spans="1:8" ht="12.75">
      <c r="A82" s="36" t="str">
        <f ca="1">IFERROR(__xludf.DUMMYFUNCTION("""COMPUTED_VALUE"""),"")</f>
        <v/>
      </c>
      <c r="B82" s="54"/>
      <c r="C82" s="54" t="str">
        <f ca="1">IFERROR(__xludf.DUMMYFUNCTION("""COMPUTED_VALUE"""),"")</f>
        <v/>
      </c>
      <c r="D82" s="54" t="str">
        <f ca="1">IFERROR(__xludf.DUMMYFUNCTION("""COMPUTED_VALUE"""),"")</f>
        <v/>
      </c>
      <c r="E82" s="57" t="str">
        <f ca="1">IFERROR(__xludf.DUMMYFUNCTION("""COMPUTED_VALUE"""),"")</f>
        <v/>
      </c>
      <c r="F82" s="54" t="str">
        <f ca="1">IFERROR(__xludf.DUMMYFUNCTION("""COMPUTED_VALUE"""),"")</f>
        <v/>
      </c>
      <c r="G82" s="38" t="str">
        <f ca="1">IFERROR(__xludf.DUMMYFUNCTION("""COMPUTED_VALUE"""),"")</f>
        <v/>
      </c>
      <c r="H82" t="str">
        <f ca="1">IFERROR(__xludf.DUMMYFUNCTION("""COMPUTED_VALUE"""),"")</f>
        <v/>
      </c>
    </row>
    <row r="83" spans="1:8" ht="12.75">
      <c r="A83" s="36" t="str">
        <f ca="1">IFERROR(__xludf.DUMMYFUNCTION("""COMPUTED_VALUE"""),"")</f>
        <v/>
      </c>
      <c r="B83" s="54"/>
      <c r="C83" s="54" t="str">
        <f ca="1">IFERROR(__xludf.DUMMYFUNCTION("""COMPUTED_VALUE"""),"")</f>
        <v/>
      </c>
      <c r="D83" s="54" t="str">
        <f ca="1">IFERROR(__xludf.DUMMYFUNCTION("""COMPUTED_VALUE"""),"")</f>
        <v/>
      </c>
      <c r="E83" s="57" t="str">
        <f ca="1">IFERROR(__xludf.DUMMYFUNCTION("""COMPUTED_VALUE"""),"")</f>
        <v/>
      </c>
      <c r="F83" s="54" t="str">
        <f ca="1">IFERROR(__xludf.DUMMYFUNCTION("""COMPUTED_VALUE"""),"")</f>
        <v/>
      </c>
      <c r="G83" s="38" t="str">
        <f ca="1">IFERROR(__xludf.DUMMYFUNCTION("""COMPUTED_VALUE"""),"")</f>
        <v/>
      </c>
      <c r="H83" t="str">
        <f ca="1">IFERROR(__xludf.DUMMYFUNCTION("""COMPUTED_VALUE"""),"")</f>
        <v/>
      </c>
    </row>
    <row r="84" spans="1:8" ht="12.75">
      <c r="A84" s="36" t="str">
        <f ca="1">IFERROR(__xludf.DUMMYFUNCTION("""COMPUTED_VALUE"""),"")</f>
        <v/>
      </c>
      <c r="B84" s="54"/>
      <c r="C84" s="54" t="str">
        <f ca="1">IFERROR(__xludf.DUMMYFUNCTION("""COMPUTED_VALUE"""),"")</f>
        <v/>
      </c>
      <c r="D84" s="54" t="str">
        <f ca="1">IFERROR(__xludf.DUMMYFUNCTION("""COMPUTED_VALUE"""),"")</f>
        <v/>
      </c>
      <c r="E84" s="57" t="str">
        <f ca="1">IFERROR(__xludf.DUMMYFUNCTION("""COMPUTED_VALUE"""),"")</f>
        <v/>
      </c>
      <c r="F84" s="54" t="str">
        <f ca="1">IFERROR(__xludf.DUMMYFUNCTION("""COMPUTED_VALUE"""),"")</f>
        <v/>
      </c>
      <c r="G84" s="38" t="str">
        <f ca="1">IFERROR(__xludf.DUMMYFUNCTION("""COMPUTED_VALUE"""),"")</f>
        <v/>
      </c>
      <c r="H84" t="str">
        <f ca="1">IFERROR(__xludf.DUMMYFUNCTION("""COMPUTED_VALUE"""),"")</f>
        <v/>
      </c>
    </row>
    <row r="85" spans="1:8" ht="12.75">
      <c r="A85" s="36" t="str">
        <f ca="1">IFERROR(__xludf.DUMMYFUNCTION("""COMPUTED_VALUE"""),"")</f>
        <v/>
      </c>
      <c r="B85" s="54"/>
      <c r="C85" s="54" t="str">
        <f ca="1">IFERROR(__xludf.DUMMYFUNCTION("""COMPUTED_VALUE"""),"")</f>
        <v/>
      </c>
      <c r="D85" s="54" t="str">
        <f ca="1">IFERROR(__xludf.DUMMYFUNCTION("""COMPUTED_VALUE"""),"")</f>
        <v/>
      </c>
      <c r="E85" s="57" t="str">
        <f ca="1">IFERROR(__xludf.DUMMYFUNCTION("""COMPUTED_VALUE"""),"")</f>
        <v/>
      </c>
      <c r="F85" s="54" t="str">
        <f ca="1">IFERROR(__xludf.DUMMYFUNCTION("""COMPUTED_VALUE"""),"")</f>
        <v/>
      </c>
      <c r="G85" s="38" t="str">
        <f ca="1">IFERROR(__xludf.DUMMYFUNCTION("""COMPUTED_VALUE"""),"")</f>
        <v/>
      </c>
      <c r="H85" t="str">
        <f ca="1">IFERROR(__xludf.DUMMYFUNCTION("""COMPUTED_VALUE"""),"")</f>
        <v/>
      </c>
    </row>
    <row r="86" spans="1:8" ht="12.75">
      <c r="A86" s="36" t="str">
        <f ca="1">IFERROR(__xludf.DUMMYFUNCTION("""COMPUTED_VALUE"""),"")</f>
        <v/>
      </c>
      <c r="B86" s="54"/>
      <c r="C86" s="54" t="str">
        <f ca="1">IFERROR(__xludf.DUMMYFUNCTION("""COMPUTED_VALUE"""),"")</f>
        <v/>
      </c>
      <c r="D86" s="54" t="str">
        <f ca="1">IFERROR(__xludf.DUMMYFUNCTION("""COMPUTED_VALUE"""),"")</f>
        <v/>
      </c>
      <c r="E86" s="57" t="str">
        <f ca="1">IFERROR(__xludf.DUMMYFUNCTION("""COMPUTED_VALUE"""),"")</f>
        <v/>
      </c>
      <c r="F86" s="54" t="str">
        <f ca="1">IFERROR(__xludf.DUMMYFUNCTION("""COMPUTED_VALUE"""),"")</f>
        <v/>
      </c>
      <c r="G86" s="38" t="str">
        <f ca="1">IFERROR(__xludf.DUMMYFUNCTION("""COMPUTED_VALUE"""),"")</f>
        <v/>
      </c>
      <c r="H86" t="str">
        <f ca="1">IFERROR(__xludf.DUMMYFUNCTION("""COMPUTED_VALUE"""),"")</f>
        <v/>
      </c>
    </row>
    <row r="87" spans="1:8" ht="12.75">
      <c r="A87" s="36" t="str">
        <f ca="1">IFERROR(__xludf.DUMMYFUNCTION("""COMPUTED_VALUE"""),"")</f>
        <v/>
      </c>
      <c r="B87" s="54"/>
      <c r="C87" s="54" t="str">
        <f ca="1">IFERROR(__xludf.DUMMYFUNCTION("""COMPUTED_VALUE"""),"")</f>
        <v/>
      </c>
      <c r="D87" s="54" t="str">
        <f ca="1">IFERROR(__xludf.DUMMYFUNCTION("""COMPUTED_VALUE"""),"")</f>
        <v/>
      </c>
      <c r="E87" s="57" t="str">
        <f ca="1">IFERROR(__xludf.DUMMYFUNCTION("""COMPUTED_VALUE"""),"")</f>
        <v/>
      </c>
      <c r="F87" s="54" t="str">
        <f ca="1">IFERROR(__xludf.DUMMYFUNCTION("""COMPUTED_VALUE"""),"")</f>
        <v/>
      </c>
      <c r="G87" s="38" t="str">
        <f ca="1">IFERROR(__xludf.DUMMYFUNCTION("""COMPUTED_VALUE"""),"")</f>
        <v/>
      </c>
      <c r="H87" t="str">
        <f ca="1">IFERROR(__xludf.DUMMYFUNCTION("""COMPUTED_VALUE"""),"")</f>
        <v/>
      </c>
    </row>
    <row r="88" spans="1:8" ht="12.75">
      <c r="A88" s="36" t="str">
        <f ca="1">IFERROR(__xludf.DUMMYFUNCTION("""COMPUTED_VALUE"""),"")</f>
        <v/>
      </c>
      <c r="B88" s="54"/>
      <c r="C88" s="54" t="str">
        <f ca="1">IFERROR(__xludf.DUMMYFUNCTION("""COMPUTED_VALUE"""),"")</f>
        <v/>
      </c>
      <c r="D88" s="54" t="str">
        <f ca="1">IFERROR(__xludf.DUMMYFUNCTION("""COMPUTED_VALUE"""),"")</f>
        <v/>
      </c>
      <c r="E88" s="57" t="str">
        <f ca="1">IFERROR(__xludf.DUMMYFUNCTION("""COMPUTED_VALUE"""),"")</f>
        <v/>
      </c>
      <c r="F88" s="54" t="str">
        <f ca="1">IFERROR(__xludf.DUMMYFUNCTION("""COMPUTED_VALUE"""),"")</f>
        <v/>
      </c>
      <c r="G88" s="38" t="str">
        <f ca="1">IFERROR(__xludf.DUMMYFUNCTION("""COMPUTED_VALUE"""),"")</f>
        <v/>
      </c>
      <c r="H88" t="str">
        <f ca="1">IFERROR(__xludf.DUMMYFUNCTION("""COMPUTED_VALUE"""),"")</f>
        <v/>
      </c>
    </row>
    <row r="89" spans="1:8" ht="12.75">
      <c r="A89" s="36" t="str">
        <f ca="1">IFERROR(__xludf.DUMMYFUNCTION("""COMPUTED_VALUE"""),"")</f>
        <v/>
      </c>
      <c r="B89" s="54"/>
      <c r="C89" s="54" t="str">
        <f ca="1">IFERROR(__xludf.DUMMYFUNCTION("""COMPUTED_VALUE"""),"")</f>
        <v/>
      </c>
      <c r="D89" s="54" t="str">
        <f ca="1">IFERROR(__xludf.DUMMYFUNCTION("""COMPUTED_VALUE"""),"")</f>
        <v/>
      </c>
      <c r="E89" s="57" t="str">
        <f ca="1">IFERROR(__xludf.DUMMYFUNCTION("""COMPUTED_VALUE"""),"")</f>
        <v/>
      </c>
      <c r="F89" s="54" t="str">
        <f ca="1">IFERROR(__xludf.DUMMYFUNCTION("""COMPUTED_VALUE"""),"")</f>
        <v/>
      </c>
      <c r="G89" s="38" t="str">
        <f ca="1">IFERROR(__xludf.DUMMYFUNCTION("""COMPUTED_VALUE"""),"")</f>
        <v/>
      </c>
      <c r="H89" t="str">
        <f ca="1">IFERROR(__xludf.DUMMYFUNCTION("""COMPUTED_VALUE"""),"")</f>
        <v/>
      </c>
    </row>
    <row r="90" spans="1:8" ht="12.75">
      <c r="A90" s="36" t="str">
        <f ca="1">IFERROR(__xludf.DUMMYFUNCTION("""COMPUTED_VALUE"""),"")</f>
        <v/>
      </c>
      <c r="B90" s="54"/>
      <c r="C90" s="54" t="str">
        <f ca="1">IFERROR(__xludf.DUMMYFUNCTION("""COMPUTED_VALUE"""),"")</f>
        <v/>
      </c>
      <c r="D90" s="54" t="str">
        <f ca="1">IFERROR(__xludf.DUMMYFUNCTION("""COMPUTED_VALUE"""),"")</f>
        <v/>
      </c>
      <c r="E90" s="57" t="str">
        <f ca="1">IFERROR(__xludf.DUMMYFUNCTION("""COMPUTED_VALUE"""),"")</f>
        <v/>
      </c>
      <c r="F90" s="54" t="str">
        <f ca="1">IFERROR(__xludf.DUMMYFUNCTION("""COMPUTED_VALUE"""),"")</f>
        <v/>
      </c>
      <c r="G90" s="38" t="str">
        <f ca="1">IFERROR(__xludf.DUMMYFUNCTION("""COMPUTED_VALUE"""),"")</f>
        <v/>
      </c>
      <c r="H90" t="str">
        <f ca="1">IFERROR(__xludf.DUMMYFUNCTION("""COMPUTED_VALUE"""),"")</f>
        <v/>
      </c>
    </row>
    <row r="91" spans="1:8" ht="12.75">
      <c r="A91" s="36" t="str">
        <f ca="1">IFERROR(__xludf.DUMMYFUNCTION("""COMPUTED_VALUE"""),"")</f>
        <v/>
      </c>
      <c r="B91" s="54"/>
      <c r="C91" s="54" t="str">
        <f ca="1">IFERROR(__xludf.DUMMYFUNCTION("""COMPUTED_VALUE"""),"")</f>
        <v/>
      </c>
      <c r="D91" s="54" t="str">
        <f ca="1">IFERROR(__xludf.DUMMYFUNCTION("""COMPUTED_VALUE"""),"")</f>
        <v/>
      </c>
      <c r="E91" s="57" t="str">
        <f ca="1">IFERROR(__xludf.DUMMYFUNCTION("""COMPUTED_VALUE"""),"")</f>
        <v/>
      </c>
      <c r="F91" s="54" t="str">
        <f ca="1">IFERROR(__xludf.DUMMYFUNCTION("""COMPUTED_VALUE"""),"")</f>
        <v/>
      </c>
      <c r="G91" s="38" t="str">
        <f ca="1">IFERROR(__xludf.DUMMYFUNCTION("""COMPUTED_VALUE"""),"")</f>
        <v/>
      </c>
      <c r="H91" t="str">
        <f ca="1">IFERROR(__xludf.DUMMYFUNCTION("""COMPUTED_VALUE"""),"")</f>
        <v/>
      </c>
    </row>
    <row r="92" spans="1:8" ht="12.75">
      <c r="A92" s="36" t="str">
        <f ca="1">IFERROR(__xludf.DUMMYFUNCTION("""COMPUTED_VALUE"""),"")</f>
        <v/>
      </c>
      <c r="B92" s="54"/>
      <c r="C92" s="54" t="str">
        <f ca="1">IFERROR(__xludf.DUMMYFUNCTION("""COMPUTED_VALUE"""),"")</f>
        <v/>
      </c>
      <c r="D92" s="54" t="str">
        <f ca="1">IFERROR(__xludf.DUMMYFUNCTION("""COMPUTED_VALUE"""),"")</f>
        <v/>
      </c>
      <c r="E92" s="57" t="str">
        <f ca="1">IFERROR(__xludf.DUMMYFUNCTION("""COMPUTED_VALUE"""),"")</f>
        <v/>
      </c>
      <c r="F92" s="54" t="str">
        <f ca="1">IFERROR(__xludf.DUMMYFUNCTION("""COMPUTED_VALUE"""),"")</f>
        <v/>
      </c>
      <c r="G92" s="38" t="str">
        <f ca="1">IFERROR(__xludf.DUMMYFUNCTION("""COMPUTED_VALUE"""),"")</f>
        <v/>
      </c>
      <c r="H92" t="str">
        <f ca="1">IFERROR(__xludf.DUMMYFUNCTION("""COMPUTED_VALUE"""),"")</f>
        <v/>
      </c>
    </row>
    <row r="93" spans="1:8" ht="12.75">
      <c r="A93" s="36" t="str">
        <f ca="1">IFERROR(__xludf.DUMMYFUNCTION("""COMPUTED_VALUE"""),"")</f>
        <v/>
      </c>
      <c r="B93" s="54"/>
      <c r="C93" s="54" t="str">
        <f ca="1">IFERROR(__xludf.DUMMYFUNCTION("""COMPUTED_VALUE"""),"")</f>
        <v/>
      </c>
      <c r="D93" s="54" t="str">
        <f ca="1">IFERROR(__xludf.DUMMYFUNCTION("""COMPUTED_VALUE"""),"")</f>
        <v/>
      </c>
      <c r="E93" s="57" t="str">
        <f ca="1">IFERROR(__xludf.DUMMYFUNCTION("""COMPUTED_VALUE"""),"")</f>
        <v/>
      </c>
      <c r="F93" s="54" t="str">
        <f ca="1">IFERROR(__xludf.DUMMYFUNCTION("""COMPUTED_VALUE"""),"")</f>
        <v/>
      </c>
      <c r="G93" s="38" t="str">
        <f ca="1">IFERROR(__xludf.DUMMYFUNCTION("""COMPUTED_VALUE"""),"")</f>
        <v/>
      </c>
      <c r="H93" t="str">
        <f ca="1">IFERROR(__xludf.DUMMYFUNCTION("""COMPUTED_VALUE"""),"")</f>
        <v/>
      </c>
    </row>
    <row r="94" spans="1:8" ht="12.75">
      <c r="A94" s="36" t="str">
        <f ca="1">IFERROR(__xludf.DUMMYFUNCTION("""COMPUTED_VALUE"""),"")</f>
        <v/>
      </c>
      <c r="B94" s="54"/>
      <c r="C94" s="54" t="str">
        <f ca="1">IFERROR(__xludf.DUMMYFUNCTION("""COMPUTED_VALUE"""),"")</f>
        <v/>
      </c>
      <c r="D94" s="54" t="str">
        <f ca="1">IFERROR(__xludf.DUMMYFUNCTION("""COMPUTED_VALUE"""),"")</f>
        <v/>
      </c>
      <c r="E94" s="57" t="str">
        <f ca="1">IFERROR(__xludf.DUMMYFUNCTION("""COMPUTED_VALUE"""),"")</f>
        <v/>
      </c>
      <c r="F94" s="54" t="str">
        <f ca="1">IFERROR(__xludf.DUMMYFUNCTION("""COMPUTED_VALUE"""),"")</f>
        <v/>
      </c>
      <c r="G94" s="38" t="str">
        <f ca="1">IFERROR(__xludf.DUMMYFUNCTION("""COMPUTED_VALUE"""),"")</f>
        <v/>
      </c>
      <c r="H94" t="str">
        <f ca="1">IFERROR(__xludf.DUMMYFUNCTION("""COMPUTED_VALUE"""),"")</f>
        <v/>
      </c>
    </row>
    <row r="95" spans="1:8" ht="12.75">
      <c r="A95" s="36" t="str">
        <f ca="1">IFERROR(__xludf.DUMMYFUNCTION("""COMPUTED_VALUE"""),"")</f>
        <v/>
      </c>
      <c r="B95" s="54"/>
      <c r="C95" s="54" t="str">
        <f ca="1">IFERROR(__xludf.DUMMYFUNCTION("""COMPUTED_VALUE"""),"")</f>
        <v/>
      </c>
      <c r="D95" s="54" t="str">
        <f ca="1">IFERROR(__xludf.DUMMYFUNCTION("""COMPUTED_VALUE"""),"")</f>
        <v/>
      </c>
      <c r="E95" s="57" t="str">
        <f ca="1">IFERROR(__xludf.DUMMYFUNCTION("""COMPUTED_VALUE"""),"")</f>
        <v/>
      </c>
      <c r="F95" s="54" t="str">
        <f ca="1">IFERROR(__xludf.DUMMYFUNCTION("""COMPUTED_VALUE"""),"")</f>
        <v/>
      </c>
      <c r="G95" s="38" t="str">
        <f ca="1">IFERROR(__xludf.DUMMYFUNCTION("""COMPUTED_VALUE"""),"")</f>
        <v/>
      </c>
      <c r="H95" t="str">
        <f ca="1">IFERROR(__xludf.DUMMYFUNCTION("""COMPUTED_VALUE"""),"")</f>
        <v/>
      </c>
    </row>
    <row r="96" spans="1:8" ht="12.75">
      <c r="A96" s="36" t="str">
        <f ca="1">IFERROR(__xludf.DUMMYFUNCTION("""COMPUTED_VALUE"""),"")</f>
        <v/>
      </c>
      <c r="B96" s="54"/>
      <c r="C96" s="54" t="str">
        <f ca="1">IFERROR(__xludf.DUMMYFUNCTION("""COMPUTED_VALUE"""),"")</f>
        <v/>
      </c>
      <c r="D96" s="54" t="str">
        <f ca="1">IFERROR(__xludf.DUMMYFUNCTION("""COMPUTED_VALUE"""),"")</f>
        <v/>
      </c>
      <c r="E96" s="57" t="str">
        <f ca="1">IFERROR(__xludf.DUMMYFUNCTION("""COMPUTED_VALUE"""),"")</f>
        <v/>
      </c>
      <c r="F96" s="54" t="str">
        <f ca="1">IFERROR(__xludf.DUMMYFUNCTION("""COMPUTED_VALUE"""),"")</f>
        <v/>
      </c>
      <c r="G96" s="38" t="str">
        <f ca="1">IFERROR(__xludf.DUMMYFUNCTION("""COMPUTED_VALUE"""),"")</f>
        <v/>
      </c>
      <c r="H96" t="str">
        <f ca="1">IFERROR(__xludf.DUMMYFUNCTION("""COMPUTED_VALUE"""),"")</f>
        <v/>
      </c>
    </row>
    <row r="97" spans="1:8" ht="12.75">
      <c r="A97" s="36" t="str">
        <f ca="1">IFERROR(__xludf.DUMMYFUNCTION("""COMPUTED_VALUE"""),"")</f>
        <v/>
      </c>
      <c r="B97" s="54"/>
      <c r="C97" s="54" t="str">
        <f ca="1">IFERROR(__xludf.DUMMYFUNCTION("""COMPUTED_VALUE"""),"")</f>
        <v/>
      </c>
      <c r="D97" s="54" t="str">
        <f ca="1">IFERROR(__xludf.DUMMYFUNCTION("""COMPUTED_VALUE"""),"")</f>
        <v/>
      </c>
      <c r="E97" s="57" t="str">
        <f ca="1">IFERROR(__xludf.DUMMYFUNCTION("""COMPUTED_VALUE"""),"")</f>
        <v/>
      </c>
      <c r="F97" s="54" t="str">
        <f ca="1">IFERROR(__xludf.DUMMYFUNCTION("""COMPUTED_VALUE"""),"")</f>
        <v/>
      </c>
      <c r="G97" s="38" t="str">
        <f ca="1">IFERROR(__xludf.DUMMYFUNCTION("""COMPUTED_VALUE"""),"")</f>
        <v/>
      </c>
      <c r="H97" t="str">
        <f ca="1">IFERROR(__xludf.DUMMYFUNCTION("""COMPUTED_VALUE"""),"")</f>
        <v/>
      </c>
    </row>
    <row r="98" spans="1:8" ht="12.75">
      <c r="A98" s="36" t="str">
        <f ca="1">IFERROR(__xludf.DUMMYFUNCTION("""COMPUTED_VALUE"""),"")</f>
        <v/>
      </c>
      <c r="B98" s="54"/>
      <c r="C98" s="54" t="str">
        <f ca="1">IFERROR(__xludf.DUMMYFUNCTION("""COMPUTED_VALUE"""),"")</f>
        <v/>
      </c>
      <c r="D98" s="54" t="str">
        <f ca="1">IFERROR(__xludf.DUMMYFUNCTION("""COMPUTED_VALUE"""),"")</f>
        <v/>
      </c>
      <c r="E98" s="57" t="str">
        <f ca="1">IFERROR(__xludf.DUMMYFUNCTION("""COMPUTED_VALUE"""),"")</f>
        <v/>
      </c>
      <c r="F98" s="54" t="str">
        <f ca="1">IFERROR(__xludf.DUMMYFUNCTION("""COMPUTED_VALUE"""),"")</f>
        <v/>
      </c>
      <c r="G98" s="38" t="str">
        <f ca="1">IFERROR(__xludf.DUMMYFUNCTION("""COMPUTED_VALUE"""),"")</f>
        <v/>
      </c>
      <c r="H98" t="str">
        <f ca="1">IFERROR(__xludf.DUMMYFUNCTION("""COMPUTED_VALUE"""),"")</f>
        <v/>
      </c>
    </row>
    <row r="99" spans="1:8" ht="12.75">
      <c r="A99" s="36" t="str">
        <f ca="1">IFERROR(__xludf.DUMMYFUNCTION("""COMPUTED_VALUE"""),"")</f>
        <v/>
      </c>
      <c r="B99" s="54"/>
      <c r="C99" s="54" t="str">
        <f ca="1">IFERROR(__xludf.DUMMYFUNCTION("""COMPUTED_VALUE"""),"")</f>
        <v/>
      </c>
      <c r="D99" s="54" t="str">
        <f ca="1">IFERROR(__xludf.DUMMYFUNCTION("""COMPUTED_VALUE"""),"")</f>
        <v/>
      </c>
      <c r="E99" s="57" t="str">
        <f ca="1">IFERROR(__xludf.DUMMYFUNCTION("""COMPUTED_VALUE"""),"")</f>
        <v/>
      </c>
      <c r="F99" s="54" t="str">
        <f ca="1">IFERROR(__xludf.DUMMYFUNCTION("""COMPUTED_VALUE"""),"")</f>
        <v/>
      </c>
      <c r="G99" s="38" t="str">
        <f ca="1">IFERROR(__xludf.DUMMYFUNCTION("""COMPUTED_VALUE"""),"")</f>
        <v/>
      </c>
      <c r="H99" t="str">
        <f ca="1">IFERROR(__xludf.DUMMYFUNCTION("""COMPUTED_VALUE"""),"")</f>
        <v/>
      </c>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H19"/>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2" width="15" customWidth="1"/>
    <col min="3" max="3" width="20.42578125" customWidth="1"/>
    <col min="4" max="4" width="19.5703125" customWidth="1"/>
    <col min="5" max="5" width="8" hidden="1" customWidth="1"/>
    <col min="6" max="6" width="32.42578125" customWidth="1"/>
    <col min="7" max="7" width="8" customWidth="1"/>
    <col min="8" max="8" width="15.7109375" customWidth="1"/>
  </cols>
  <sheetData>
    <row r="1" spans="1:8" ht="12" customHeight="1">
      <c r="A1" s="34"/>
      <c r="B1" s="34"/>
      <c r="C1" s="34"/>
      <c r="D1" s="34"/>
      <c r="E1" s="34"/>
      <c r="F1" s="126" t="s">
        <v>10</v>
      </c>
      <c r="G1" s="110"/>
      <c r="H1" s="110"/>
    </row>
    <row r="2" spans="1:8" ht="12" customHeight="1">
      <c r="A2" s="34"/>
      <c r="B2" s="34"/>
      <c r="C2" s="34"/>
      <c r="D2" s="34"/>
      <c r="E2" s="34"/>
      <c r="F2" s="114"/>
      <c r="G2" s="114"/>
      <c r="H2" s="114"/>
    </row>
    <row r="3" spans="1:8" ht="12" customHeight="1">
      <c r="A3" s="34"/>
      <c r="B3" s="34"/>
      <c r="C3" s="34"/>
      <c r="D3" s="34"/>
      <c r="E3" s="34"/>
      <c r="F3" s="127" t="s">
        <v>11</v>
      </c>
      <c r="G3" s="110"/>
      <c r="H3" s="110"/>
    </row>
    <row r="4" spans="1:8" ht="12" customHeight="1">
      <c r="A4" s="34"/>
      <c r="B4" s="34"/>
      <c r="C4" s="34"/>
      <c r="D4" s="34"/>
      <c r="E4" s="34"/>
      <c r="F4" s="110"/>
      <c r="G4" s="110"/>
      <c r="H4" s="110"/>
    </row>
    <row r="5" spans="1:8" ht="23.25">
      <c r="A5" s="34"/>
      <c r="B5" s="34"/>
      <c r="C5" s="34"/>
      <c r="D5" s="34"/>
      <c r="E5" s="34"/>
      <c r="F5" s="34"/>
      <c r="G5" s="34"/>
      <c r="H5" s="34"/>
    </row>
    <row r="6" spans="1:8" ht="23.25">
      <c r="A6" s="128" t="s">
        <v>109</v>
      </c>
      <c r="B6" s="110"/>
      <c r="C6" s="110"/>
      <c r="D6" s="110"/>
      <c r="E6" s="110"/>
      <c r="F6" s="110"/>
      <c r="G6" s="110"/>
      <c r="H6" s="110"/>
    </row>
    <row r="7" spans="1:8" ht="12.75">
      <c r="A7" s="36"/>
      <c r="E7" s="38"/>
      <c r="G7" s="38"/>
    </row>
    <row r="8" spans="1:8" ht="33" customHeight="1">
      <c r="A8" s="129" t="s">
        <v>110</v>
      </c>
      <c r="B8" s="122"/>
      <c r="C8" s="122"/>
      <c r="D8" s="122"/>
      <c r="E8" s="122"/>
      <c r="F8" s="122"/>
      <c r="G8" s="122"/>
      <c r="H8" s="118"/>
    </row>
    <row r="9" spans="1:8" ht="12.75">
      <c r="A9" s="36"/>
      <c r="E9" s="38"/>
      <c r="G9" s="38"/>
    </row>
    <row r="10" spans="1:8" ht="12.75">
      <c r="A10" s="39">
        <f ca="1">IFERROR(__xludf.DUMMYFUNCTION("IMPORTRANGE(""1qeeFCJCFKucGS14M4JpkDHd4OgBncP16-nnB1TgVYa4"",""JAN!A10"")"),2)</f>
        <v>2</v>
      </c>
      <c r="B10" s="40" t="s">
        <v>111</v>
      </c>
      <c r="E10" s="38"/>
      <c r="F10" s="41"/>
      <c r="G10" s="79"/>
      <c r="H10" s="41" t="s">
        <v>79</v>
      </c>
    </row>
    <row r="11" spans="1:8" ht="12.75">
      <c r="A11" s="36"/>
      <c r="E11" s="38"/>
      <c r="F11" s="41"/>
      <c r="G11" s="43"/>
      <c r="H11" s="43"/>
    </row>
    <row r="12" spans="1:8">
      <c r="A12" s="44" t="s">
        <v>80</v>
      </c>
      <c r="B12" s="45" t="s">
        <v>81</v>
      </c>
      <c r="C12" s="44" t="s">
        <v>82</v>
      </c>
      <c r="D12" s="44" t="s">
        <v>83</v>
      </c>
      <c r="E12" s="44" t="s">
        <v>84</v>
      </c>
      <c r="F12" s="44" t="s">
        <v>85</v>
      </c>
      <c r="G12" s="44" t="s">
        <v>86</v>
      </c>
      <c r="H12" s="82" t="s">
        <v>87</v>
      </c>
    </row>
    <row r="13" spans="1:8" ht="12.75">
      <c r="A13" s="46">
        <f ca="1">IFERROR(__xludf.DUMMYFUNCTION("IMPORTRANGE(""1qeeFCJCFKucGS14M4JpkDHd4OgBncP16-nnB1TgVYa4"",""JAN!A13:G500"")"),1)</f>
        <v>1</v>
      </c>
      <c r="B13" s="65" t="str">
        <f ca="1">IFERROR(__xludf.DUMMYFUNCTION("""COMPUTED_VALUE"""),"512885")</f>
        <v>512885</v>
      </c>
      <c r="C13" s="48" t="str">
        <f ca="1">IFERROR(__xludf.DUMMYFUNCTION("""COMPUTED_VALUE"""),"BARCELO")</f>
        <v>BARCELO</v>
      </c>
      <c r="D13" s="48" t="str">
        <f ca="1">IFERROR(__xludf.DUMMYFUNCTION("""COMPUTED_VALUE"""),"Emmanuel")</f>
        <v>Emmanuel</v>
      </c>
      <c r="E13" s="77" t="str">
        <f ca="1">IFERROR(__xludf.DUMMYFUNCTION("""COMPUTED_VALUE"""),"06510018")</f>
        <v>06510018</v>
      </c>
      <c r="F13" s="48" t="str">
        <f ca="1">IFERROR(__xludf.DUMMYFUNCTION("""COMPUTED_VALUE"""),"REIMS ASPTT")</f>
        <v>REIMS ASPTT</v>
      </c>
      <c r="G13" s="50" t="str">
        <f ca="1">IFERROR(__xludf.DUMMYFUNCTION("""COMPUTED_VALUE"""),"CD51")</f>
        <v>CD51</v>
      </c>
      <c r="H13" s="50" t="str">
        <f ca="1">IFERROR(__xludf.DUMMYFUNCTION("IMPORTRANGE(""1qeeFCJCFKucGS14M4JpkDHd4OgBncP16-nnB1TgVYa4"",""JAN!I13:I500"")"),"actif")</f>
        <v>actif</v>
      </c>
    </row>
    <row r="14" spans="1:8" ht="12.75">
      <c r="A14" s="46">
        <f ca="1">IFERROR(__xludf.DUMMYFUNCTION("""COMPUTED_VALUE"""),2)</f>
        <v>2</v>
      </c>
      <c r="B14" s="65" t="str">
        <f ca="1">IFERROR(__xludf.DUMMYFUNCTION("""COMPUTED_VALUE"""),"5718244")</f>
        <v>5718244</v>
      </c>
      <c r="C14" s="48" t="str">
        <f ca="1">IFERROR(__xludf.DUMMYFUNCTION("""COMPUTED_VALUE"""),"DECLOMESNIL")</f>
        <v>DECLOMESNIL</v>
      </c>
      <c r="D14" s="48" t="str">
        <f ca="1">IFERROR(__xludf.DUMMYFUNCTION("""COMPUTED_VALUE"""),"Yohan")</f>
        <v>Yohan</v>
      </c>
      <c r="E14" s="77" t="str">
        <f ca="1">IFERROR(__xludf.DUMMYFUNCTION("""COMPUTED_VALUE"""),"06570024")</f>
        <v>06570024</v>
      </c>
      <c r="F14" s="48" t="str">
        <f ca="1">IFERROR(__xludf.DUMMYFUNCTION("""COMPUTED_VALUE"""),"THIONVILLE Tennis de Table")</f>
        <v>THIONVILLE Tennis de Table</v>
      </c>
      <c r="G14" s="50" t="str">
        <f ca="1">IFERROR(__xludf.DUMMYFUNCTION("""COMPUTED_VALUE"""),"CD57")</f>
        <v>CD57</v>
      </c>
      <c r="H14" s="50" t="str">
        <f ca="1">IFERROR(__xludf.DUMMYFUNCTION("""COMPUTED_VALUE"""),"actif")</f>
        <v>actif</v>
      </c>
    </row>
    <row r="15" spans="1:8" ht="12.75">
      <c r="A15" s="36" t="str">
        <f ca="1">IFERROR(__xludf.DUMMYFUNCTION("""COMPUTED_VALUE"""),"")</f>
        <v/>
      </c>
      <c r="B15" s="37"/>
      <c r="C15" s="54" t="str">
        <f ca="1">IFERROR(__xludf.DUMMYFUNCTION("""COMPUTED_VALUE"""),"")</f>
        <v/>
      </c>
      <c r="D15" s="54" t="str">
        <f ca="1">IFERROR(__xludf.DUMMYFUNCTION("""COMPUTED_VALUE"""),"")</f>
        <v/>
      </c>
      <c r="E15" s="57" t="str">
        <f ca="1">IFERROR(__xludf.DUMMYFUNCTION("""COMPUTED_VALUE"""),"")</f>
        <v/>
      </c>
      <c r="F15" s="83" t="str">
        <f ca="1">IFERROR(__xludf.DUMMYFUNCTION("""COMPUTED_VALUE"""),"")</f>
        <v/>
      </c>
      <c r="G15" s="38" t="str">
        <f ca="1">IFERROR(__xludf.DUMMYFUNCTION("""COMPUTED_VALUE"""),"")</f>
        <v/>
      </c>
      <c r="H15" t="str">
        <f ca="1">IFERROR(__xludf.DUMMYFUNCTION("""COMPUTED_VALUE"""),"")</f>
        <v/>
      </c>
    </row>
    <row r="16" spans="1:8" ht="12.75">
      <c r="A16" s="36" t="str">
        <f ca="1">IFERROR(__xludf.DUMMYFUNCTION("""COMPUTED_VALUE"""),"")</f>
        <v/>
      </c>
      <c r="B16" s="37"/>
      <c r="C16" s="54" t="str">
        <f ca="1">IFERROR(__xludf.DUMMYFUNCTION("""COMPUTED_VALUE"""),"")</f>
        <v/>
      </c>
      <c r="D16" s="54" t="str">
        <f ca="1">IFERROR(__xludf.DUMMYFUNCTION("""COMPUTED_VALUE"""),"")</f>
        <v/>
      </c>
      <c r="E16" s="57" t="str">
        <f ca="1">IFERROR(__xludf.DUMMYFUNCTION("""COMPUTED_VALUE"""),"")</f>
        <v/>
      </c>
      <c r="F16" s="54" t="str">
        <f ca="1">IFERROR(__xludf.DUMMYFUNCTION("""COMPUTED_VALUE"""),"")</f>
        <v/>
      </c>
      <c r="G16" s="38" t="str">
        <f ca="1">IFERROR(__xludf.DUMMYFUNCTION("""COMPUTED_VALUE"""),"")</f>
        <v/>
      </c>
      <c r="H16" t="str">
        <f ca="1">IFERROR(__xludf.DUMMYFUNCTION("""COMPUTED_VALUE"""),"")</f>
        <v/>
      </c>
    </row>
    <row r="17" spans="1:8" ht="12.75">
      <c r="A17" s="36" t="str">
        <f ca="1">IFERROR(__xludf.DUMMYFUNCTION("""COMPUTED_VALUE"""),"")</f>
        <v/>
      </c>
      <c r="B17" s="37"/>
      <c r="C17" s="54" t="str">
        <f ca="1">IFERROR(__xludf.DUMMYFUNCTION("""COMPUTED_VALUE"""),"")</f>
        <v/>
      </c>
      <c r="D17" s="54" t="str">
        <f ca="1">IFERROR(__xludf.DUMMYFUNCTION("""COMPUTED_VALUE"""),"")</f>
        <v/>
      </c>
      <c r="E17" s="57" t="str">
        <f ca="1">IFERROR(__xludf.DUMMYFUNCTION("""COMPUTED_VALUE"""),"")</f>
        <v/>
      </c>
      <c r="F17" s="54" t="str">
        <f ca="1">IFERROR(__xludf.DUMMYFUNCTION("""COMPUTED_VALUE"""),"")</f>
        <v/>
      </c>
      <c r="G17" s="38" t="str">
        <f ca="1">IFERROR(__xludf.DUMMYFUNCTION("""COMPUTED_VALUE"""),"")</f>
        <v/>
      </c>
      <c r="H17" t="str">
        <f ca="1">IFERROR(__xludf.DUMMYFUNCTION("""COMPUTED_VALUE"""),"")</f>
        <v/>
      </c>
    </row>
    <row r="18" spans="1:8" ht="12.75">
      <c r="A18" s="36" t="str">
        <f ca="1">IFERROR(__xludf.DUMMYFUNCTION("""COMPUTED_VALUE"""),"")</f>
        <v/>
      </c>
      <c r="B18" s="37"/>
      <c r="C18" s="54" t="str">
        <f ca="1">IFERROR(__xludf.DUMMYFUNCTION("""COMPUTED_VALUE"""),"")</f>
        <v/>
      </c>
      <c r="D18" s="54" t="str">
        <f ca="1">IFERROR(__xludf.DUMMYFUNCTION("""COMPUTED_VALUE"""),"")</f>
        <v/>
      </c>
      <c r="E18" s="57" t="str">
        <f ca="1">IFERROR(__xludf.DUMMYFUNCTION("""COMPUTED_VALUE"""),"")</f>
        <v/>
      </c>
      <c r="F18" s="54" t="str">
        <f ca="1">IFERROR(__xludf.DUMMYFUNCTION("""COMPUTED_VALUE"""),"")</f>
        <v/>
      </c>
      <c r="G18" s="38" t="str">
        <f ca="1">IFERROR(__xludf.DUMMYFUNCTION("""COMPUTED_VALUE"""),"")</f>
        <v/>
      </c>
      <c r="H18" t="str">
        <f ca="1">IFERROR(__xludf.DUMMYFUNCTION("""COMPUTED_VALUE"""),"")</f>
        <v/>
      </c>
    </row>
    <row r="19" spans="1:8" ht="12.75">
      <c r="A19" s="36" t="str">
        <f ca="1">IFERROR(__xludf.DUMMYFUNCTION("""COMPUTED_VALUE"""),"")</f>
        <v/>
      </c>
      <c r="B19" s="37"/>
      <c r="C19" s="54" t="str">
        <f ca="1">IFERROR(__xludf.DUMMYFUNCTION("""COMPUTED_VALUE"""),"")</f>
        <v/>
      </c>
      <c r="D19" s="54" t="str">
        <f ca="1">IFERROR(__xludf.DUMMYFUNCTION("""COMPUTED_VALUE"""),"")</f>
        <v/>
      </c>
      <c r="E19" s="57" t="str">
        <f ca="1">IFERROR(__xludf.DUMMYFUNCTION("""COMPUTED_VALUE"""),"")</f>
        <v/>
      </c>
      <c r="F19" s="54" t="str">
        <f ca="1">IFERROR(__xludf.DUMMYFUNCTION("""COMPUTED_VALUE"""),"")</f>
        <v/>
      </c>
      <c r="G19" s="38" t="str">
        <f ca="1">IFERROR(__xludf.DUMMYFUNCTION("""COMPUTED_VALUE"""),"")</f>
        <v/>
      </c>
      <c r="H19" t="str">
        <f ca="1">IFERROR(__xludf.DUMMYFUNCTION("""COMPUTED_VALUE"""),"")</f>
        <v/>
      </c>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H19"/>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2" width="14.7109375" customWidth="1"/>
    <col min="3" max="3" width="20.42578125" customWidth="1"/>
    <col min="4" max="4" width="19.5703125" customWidth="1"/>
    <col min="5" max="5" width="8" hidden="1" customWidth="1"/>
    <col min="6" max="6" width="32.42578125" customWidth="1"/>
    <col min="7" max="7" width="9.42578125" customWidth="1"/>
    <col min="8" max="8" width="23.42578125" customWidth="1"/>
  </cols>
  <sheetData>
    <row r="1" spans="1:8" ht="12" customHeight="1">
      <c r="A1" s="34"/>
      <c r="B1" s="34"/>
      <c r="C1" s="34"/>
      <c r="D1" s="34"/>
      <c r="E1" s="34"/>
      <c r="F1" s="126" t="s">
        <v>10</v>
      </c>
      <c r="G1" s="110"/>
      <c r="H1" s="110"/>
    </row>
    <row r="2" spans="1:8" ht="12" customHeight="1">
      <c r="A2" s="34"/>
      <c r="B2" s="34"/>
      <c r="C2" s="34"/>
      <c r="D2" s="34"/>
      <c r="E2" s="34"/>
      <c r="F2" s="114"/>
      <c r="G2" s="114"/>
      <c r="H2" s="114"/>
    </row>
    <row r="3" spans="1:8" ht="12" customHeight="1">
      <c r="A3" s="34"/>
      <c r="B3" s="34"/>
      <c r="C3" s="34"/>
      <c r="D3" s="34"/>
      <c r="E3" s="34"/>
      <c r="F3" s="127" t="s">
        <v>11</v>
      </c>
      <c r="G3" s="110"/>
      <c r="H3" s="110"/>
    </row>
    <row r="4" spans="1:8" ht="12" customHeight="1">
      <c r="A4" s="34"/>
      <c r="B4" s="34"/>
      <c r="C4" s="34"/>
      <c r="D4" s="34"/>
      <c r="E4" s="34"/>
      <c r="F4" s="110"/>
      <c r="G4" s="110"/>
      <c r="H4" s="110"/>
    </row>
    <row r="5" spans="1:8" ht="23.25">
      <c r="A5" s="34"/>
      <c r="B5" s="34"/>
      <c r="C5" s="34"/>
      <c r="D5" s="34"/>
      <c r="E5" s="34"/>
      <c r="F5" s="34"/>
      <c r="G5" s="34"/>
      <c r="H5" s="34"/>
    </row>
    <row r="6" spans="1:8" ht="23.25">
      <c r="A6" s="128" t="s">
        <v>112</v>
      </c>
      <c r="B6" s="110"/>
      <c r="C6" s="110"/>
      <c r="D6" s="110"/>
      <c r="E6" s="110"/>
      <c r="F6" s="110"/>
      <c r="G6" s="110"/>
      <c r="H6" s="110"/>
    </row>
    <row r="7" spans="1:8" ht="12.75">
      <c r="A7" s="36"/>
      <c r="E7" s="38"/>
      <c r="G7" s="38"/>
    </row>
    <row r="8" spans="1:8" ht="33" customHeight="1">
      <c r="A8" s="129" t="s">
        <v>113</v>
      </c>
      <c r="B8" s="122"/>
      <c r="C8" s="122"/>
      <c r="D8" s="122"/>
      <c r="E8" s="122"/>
      <c r="F8" s="122"/>
      <c r="G8" s="122"/>
      <c r="H8" s="118"/>
    </row>
    <row r="9" spans="1:8" ht="12.75">
      <c r="A9" s="36"/>
      <c r="E9" s="38"/>
      <c r="G9" s="38"/>
    </row>
    <row r="10" spans="1:8" ht="12.75">
      <c r="A10" s="39">
        <f ca="1">IFERROR(__xludf.DUMMYFUNCTION("IMPORTRANGE(""1qeeFCJCFKucGS14M4JpkDHd4OgBncP16-nnB1TgVYa4"",""JAI!A10"")"),2)</f>
        <v>2</v>
      </c>
      <c r="B10" s="40" t="s">
        <v>114</v>
      </c>
      <c r="E10" s="38"/>
      <c r="F10" s="41"/>
      <c r="G10" s="79"/>
      <c r="H10" s="41" t="s">
        <v>79</v>
      </c>
    </row>
    <row r="11" spans="1:8" ht="12.75">
      <c r="A11" s="36"/>
      <c r="E11" s="38"/>
      <c r="F11" s="41"/>
      <c r="G11" s="43"/>
      <c r="H11" s="43"/>
    </row>
    <row r="12" spans="1:8">
      <c r="A12" s="44" t="s">
        <v>80</v>
      </c>
      <c r="B12" s="45" t="s">
        <v>81</v>
      </c>
      <c r="C12" s="44" t="s">
        <v>82</v>
      </c>
      <c r="D12" s="44" t="s">
        <v>83</v>
      </c>
      <c r="E12" s="44" t="s">
        <v>84</v>
      </c>
      <c r="F12" s="44" t="s">
        <v>85</v>
      </c>
      <c r="G12" s="44" t="s">
        <v>86</v>
      </c>
      <c r="H12" s="44" t="s">
        <v>87</v>
      </c>
    </row>
    <row r="13" spans="1:8" ht="12.75">
      <c r="A13" s="46">
        <f ca="1">IFERROR(__xludf.DUMMYFUNCTION("IMPORTRANGE(""1qeeFCJCFKucGS14M4JpkDHd4OgBncP16-nnB1TgVYa4"",""JAI!A13:G500"")"),1)</f>
        <v>1</v>
      </c>
      <c r="B13" s="65" t="str">
        <f ca="1">IFERROR(__xludf.DUMMYFUNCTION("""COMPUTED_VALUE"""),"575377")</f>
        <v>575377</v>
      </c>
      <c r="C13" s="48" t="str">
        <f ca="1">IFERROR(__xludf.DUMMYFUNCTION("""COMPUTED_VALUE"""),"BLANCHARD")</f>
        <v>BLANCHARD</v>
      </c>
      <c r="D13" s="48" t="str">
        <f ca="1">IFERROR(__xludf.DUMMYFUNCTION("""COMPUTED_VALUE"""),"Vincent")</f>
        <v>Vincent</v>
      </c>
      <c r="E13" s="77" t="str">
        <f ca="1">IFERROR(__xludf.DUMMYFUNCTION("""COMPUTED_VALUE"""),"06570005")</f>
        <v>06570005</v>
      </c>
      <c r="F13" s="48" t="str">
        <f ca="1">IFERROR(__xludf.DUMMYFUNCTION("""COMPUTED_VALUE"""),"FAULQUEMONT E.S.C.")</f>
        <v>FAULQUEMONT E.S.C.</v>
      </c>
      <c r="G13" s="50" t="str">
        <f ca="1">IFERROR(__xludf.DUMMYFUNCTION("""COMPUTED_VALUE"""),"CD57")</f>
        <v>CD57</v>
      </c>
      <c r="H13" s="50" t="str">
        <f ca="1">IFERROR(__xludf.DUMMYFUNCTION("IMPORTRANGE(""1qeeFCJCFKucGS14M4JpkDHd4OgBncP16-nnB1TgVYa4"",""JAI!I13:I500"")"),"actif")</f>
        <v>actif</v>
      </c>
    </row>
    <row r="14" spans="1:8" ht="12.75">
      <c r="A14" s="46">
        <f ca="1">IFERROR(__xludf.DUMMYFUNCTION("""COMPUTED_VALUE"""),2)</f>
        <v>2</v>
      </c>
      <c r="B14" s="65" t="str">
        <f ca="1">IFERROR(__xludf.DUMMYFUNCTION("""COMPUTED_VALUE"""),"5410797")</f>
        <v>5410797</v>
      </c>
      <c r="C14" s="48" t="str">
        <f ca="1">IFERROR(__xludf.DUMMYFUNCTION("""COMPUTED_VALUE"""),"LAPICQUE")</f>
        <v>LAPICQUE</v>
      </c>
      <c r="D14" s="48" t="str">
        <f ca="1">IFERROR(__xludf.DUMMYFUNCTION("""COMPUTED_VALUE"""),"Francoise")</f>
        <v>Francoise</v>
      </c>
      <c r="E14" s="77" t="str">
        <f ca="1">IFERROR(__xludf.DUMMYFUNCTION("""COMPUTED_VALUE"""),"06540040")</f>
        <v>06540040</v>
      </c>
      <c r="F14" s="48" t="str">
        <f ca="1">IFERROR(__xludf.DUMMYFUNCTION("""COMPUTED_VALUE"""),"VILLERS LES NANCY C.O.S.")</f>
        <v>VILLERS LES NANCY C.O.S.</v>
      </c>
      <c r="G14" s="50" t="str">
        <f ca="1">IFERROR(__xludf.DUMMYFUNCTION("""COMPUTED_VALUE"""),"CD54")</f>
        <v>CD54</v>
      </c>
      <c r="H14" s="50" t="str">
        <f ca="1">IFERROR(__xludf.DUMMYFUNCTION("""COMPUTED_VALUE"""),"actif")</f>
        <v>actif</v>
      </c>
    </row>
    <row r="15" spans="1:8" ht="12.75">
      <c r="A15" s="36" t="str">
        <f ca="1">IFERROR(__xludf.DUMMYFUNCTION("""COMPUTED_VALUE"""),"")</f>
        <v/>
      </c>
      <c r="B15" s="37"/>
      <c r="C15" s="54" t="str">
        <f ca="1">IFERROR(__xludf.DUMMYFUNCTION("""COMPUTED_VALUE"""),"")</f>
        <v/>
      </c>
      <c r="D15" s="54" t="str">
        <f ca="1">IFERROR(__xludf.DUMMYFUNCTION("""COMPUTED_VALUE"""),"")</f>
        <v/>
      </c>
      <c r="E15" s="57" t="str">
        <f ca="1">IFERROR(__xludf.DUMMYFUNCTION("""COMPUTED_VALUE"""),"")</f>
        <v/>
      </c>
      <c r="F15" s="83" t="str">
        <f ca="1">IFERROR(__xludf.DUMMYFUNCTION("""COMPUTED_VALUE"""),"")</f>
        <v/>
      </c>
      <c r="G15" s="38" t="str">
        <f ca="1">IFERROR(__xludf.DUMMYFUNCTION("""COMPUTED_VALUE"""),"")</f>
        <v/>
      </c>
      <c r="H15" t="str">
        <f ca="1">IFERROR(__xludf.DUMMYFUNCTION("""COMPUTED_VALUE"""),"")</f>
        <v/>
      </c>
    </row>
    <row r="16" spans="1:8" ht="12.75">
      <c r="A16" s="36" t="str">
        <f ca="1">IFERROR(__xludf.DUMMYFUNCTION("""COMPUTED_VALUE"""),"")</f>
        <v/>
      </c>
      <c r="B16" s="37"/>
      <c r="C16" s="54" t="str">
        <f ca="1">IFERROR(__xludf.DUMMYFUNCTION("""COMPUTED_VALUE"""),"")</f>
        <v/>
      </c>
      <c r="D16" s="54" t="str">
        <f ca="1">IFERROR(__xludf.DUMMYFUNCTION("""COMPUTED_VALUE"""),"")</f>
        <v/>
      </c>
      <c r="E16" s="57" t="str">
        <f ca="1">IFERROR(__xludf.DUMMYFUNCTION("""COMPUTED_VALUE"""),"")</f>
        <v/>
      </c>
      <c r="F16" s="54" t="str">
        <f ca="1">IFERROR(__xludf.DUMMYFUNCTION("""COMPUTED_VALUE"""),"")</f>
        <v/>
      </c>
      <c r="G16" s="38" t="str">
        <f ca="1">IFERROR(__xludf.DUMMYFUNCTION("""COMPUTED_VALUE"""),"")</f>
        <v/>
      </c>
      <c r="H16" t="str">
        <f ca="1">IFERROR(__xludf.DUMMYFUNCTION("""COMPUTED_VALUE"""),"")</f>
        <v/>
      </c>
    </row>
    <row r="17" spans="1:8" ht="12.75">
      <c r="A17" s="36" t="str">
        <f ca="1">IFERROR(__xludf.DUMMYFUNCTION("""COMPUTED_VALUE"""),"")</f>
        <v/>
      </c>
      <c r="B17" s="37"/>
      <c r="C17" s="54" t="str">
        <f ca="1">IFERROR(__xludf.DUMMYFUNCTION("""COMPUTED_VALUE"""),"")</f>
        <v/>
      </c>
      <c r="D17" s="54" t="str">
        <f ca="1">IFERROR(__xludf.DUMMYFUNCTION("""COMPUTED_VALUE"""),"")</f>
        <v/>
      </c>
      <c r="E17" s="57" t="str">
        <f ca="1">IFERROR(__xludf.DUMMYFUNCTION("""COMPUTED_VALUE"""),"")</f>
        <v/>
      </c>
      <c r="F17" s="54" t="str">
        <f ca="1">IFERROR(__xludf.DUMMYFUNCTION("""COMPUTED_VALUE"""),"")</f>
        <v/>
      </c>
      <c r="G17" s="38" t="str">
        <f ca="1">IFERROR(__xludf.DUMMYFUNCTION("""COMPUTED_VALUE"""),"")</f>
        <v/>
      </c>
      <c r="H17" t="str">
        <f ca="1">IFERROR(__xludf.DUMMYFUNCTION("""COMPUTED_VALUE"""),"")</f>
        <v/>
      </c>
    </row>
    <row r="18" spans="1:8" ht="12.75">
      <c r="A18" s="36" t="str">
        <f ca="1">IFERROR(__xludf.DUMMYFUNCTION("""COMPUTED_VALUE"""),"")</f>
        <v/>
      </c>
      <c r="B18" s="37"/>
      <c r="C18" s="54" t="str">
        <f ca="1">IFERROR(__xludf.DUMMYFUNCTION("""COMPUTED_VALUE"""),"")</f>
        <v/>
      </c>
      <c r="D18" s="54" t="str">
        <f ca="1">IFERROR(__xludf.DUMMYFUNCTION("""COMPUTED_VALUE"""),"")</f>
        <v/>
      </c>
      <c r="E18" s="57" t="str">
        <f ca="1">IFERROR(__xludf.DUMMYFUNCTION("""COMPUTED_VALUE"""),"")</f>
        <v/>
      </c>
      <c r="F18" s="54" t="str">
        <f ca="1">IFERROR(__xludf.DUMMYFUNCTION("""COMPUTED_VALUE"""),"")</f>
        <v/>
      </c>
      <c r="G18" s="38" t="str">
        <f ca="1">IFERROR(__xludf.DUMMYFUNCTION("""COMPUTED_VALUE"""),"")</f>
        <v/>
      </c>
      <c r="H18" t="str">
        <f ca="1">IFERROR(__xludf.DUMMYFUNCTION("""COMPUTED_VALUE"""),"")</f>
        <v/>
      </c>
    </row>
    <row r="19" spans="1:8" ht="12.75">
      <c r="A19" s="36" t="str">
        <f ca="1">IFERROR(__xludf.DUMMYFUNCTION("""COMPUTED_VALUE"""),"")</f>
        <v/>
      </c>
      <c r="B19" s="37"/>
      <c r="C19" s="54" t="str">
        <f ca="1">IFERROR(__xludf.DUMMYFUNCTION("""COMPUTED_VALUE"""),"")</f>
        <v/>
      </c>
      <c r="D19" s="54" t="str">
        <f ca="1">IFERROR(__xludf.DUMMYFUNCTION("""COMPUTED_VALUE"""),"")</f>
        <v/>
      </c>
      <c r="E19" s="57" t="str">
        <f ca="1">IFERROR(__xludf.DUMMYFUNCTION("""COMPUTED_VALUE"""),"")</f>
        <v/>
      </c>
      <c r="F19" s="54" t="str">
        <f ca="1">IFERROR(__xludf.DUMMYFUNCTION("""COMPUTED_VALUE"""),"")</f>
        <v/>
      </c>
      <c r="G19" s="38" t="str">
        <f ca="1">IFERROR(__xludf.DUMMYFUNCTION("""COMPUTED_VALUE"""),"")</f>
        <v/>
      </c>
      <c r="H19" t="str">
        <f ca="1">IFERROR(__xludf.DUMMYFUNCTION("""COMPUTED_VALUE"""),"")</f>
        <v/>
      </c>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K35"/>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2" width="15" customWidth="1"/>
    <col min="3" max="3" width="20.42578125" customWidth="1"/>
    <col min="4" max="4" width="19.5703125" customWidth="1"/>
    <col min="5" max="5" width="8" hidden="1" customWidth="1"/>
    <col min="6" max="6" width="32.42578125" customWidth="1"/>
    <col min="7" max="7" width="8.5703125" customWidth="1"/>
    <col min="8" max="8" width="18.7109375" customWidth="1"/>
    <col min="9" max="9" width="16" customWidth="1"/>
    <col min="10" max="10" width="23.42578125" customWidth="1"/>
    <col min="11" max="11" width="17.28515625" customWidth="1"/>
  </cols>
  <sheetData>
    <row r="1" spans="1:11" ht="12" customHeight="1">
      <c r="A1" s="34"/>
      <c r="B1" s="34"/>
      <c r="C1" s="34"/>
      <c r="D1" s="34"/>
      <c r="E1" s="34"/>
      <c r="F1" s="34"/>
      <c r="G1" s="127" t="s">
        <v>10</v>
      </c>
      <c r="H1" s="110"/>
      <c r="I1" s="110"/>
      <c r="J1" s="110"/>
      <c r="K1" s="110"/>
    </row>
    <row r="2" spans="1:11" ht="12" customHeight="1">
      <c r="A2" s="34"/>
      <c r="B2" s="34"/>
      <c r="C2" s="34"/>
      <c r="D2" s="34"/>
      <c r="E2" s="34"/>
      <c r="F2" s="34"/>
      <c r="G2" s="114"/>
      <c r="H2" s="114"/>
      <c r="I2" s="114"/>
      <c r="J2" s="114"/>
      <c r="K2" s="114"/>
    </row>
    <row r="3" spans="1:11" ht="12" customHeight="1">
      <c r="A3" s="34"/>
      <c r="B3" s="34"/>
      <c r="C3" s="34"/>
      <c r="D3" s="34"/>
      <c r="E3" s="34"/>
      <c r="F3" s="34"/>
      <c r="G3" s="127" t="s">
        <v>11</v>
      </c>
      <c r="H3" s="110"/>
      <c r="I3" s="110"/>
      <c r="J3" s="110"/>
      <c r="K3" s="110"/>
    </row>
    <row r="4" spans="1:11" ht="12" customHeight="1">
      <c r="A4" s="34"/>
      <c r="B4" s="34"/>
      <c r="C4" s="34"/>
      <c r="D4" s="34"/>
      <c r="E4" s="34"/>
      <c r="F4" s="34"/>
      <c r="G4" s="110"/>
      <c r="H4" s="110"/>
      <c r="I4" s="110"/>
      <c r="J4" s="110"/>
      <c r="K4" s="110"/>
    </row>
    <row r="5" spans="1:11" ht="23.25">
      <c r="A5" s="34"/>
      <c r="B5" s="34"/>
      <c r="C5" s="34"/>
      <c r="D5" s="34"/>
      <c r="E5" s="34"/>
      <c r="F5" s="34"/>
      <c r="G5" s="34"/>
      <c r="H5" s="34"/>
      <c r="I5" s="34"/>
      <c r="J5" s="34"/>
      <c r="K5" s="34"/>
    </row>
    <row r="6" spans="1:11" ht="23.25">
      <c r="A6" s="128" t="s">
        <v>115</v>
      </c>
      <c r="B6" s="110"/>
      <c r="C6" s="110"/>
      <c r="D6" s="110"/>
      <c r="E6" s="110"/>
      <c r="F6" s="110"/>
      <c r="G6" s="110"/>
      <c r="H6" s="110"/>
      <c r="I6" s="110"/>
      <c r="J6" s="110"/>
      <c r="K6" s="110"/>
    </row>
    <row r="7" spans="1:11" ht="12.75">
      <c r="A7" s="36"/>
      <c r="E7" s="38"/>
      <c r="G7" s="38"/>
      <c r="J7" s="84"/>
      <c r="K7" s="84"/>
    </row>
    <row r="8" spans="1:11" ht="33" customHeight="1">
      <c r="A8" s="129" t="s">
        <v>116</v>
      </c>
      <c r="B8" s="122"/>
      <c r="C8" s="122"/>
      <c r="D8" s="122"/>
      <c r="E8" s="122"/>
      <c r="F8" s="122"/>
      <c r="G8" s="122"/>
      <c r="H8" s="122"/>
      <c r="I8" s="122"/>
      <c r="J8" s="122"/>
      <c r="K8" s="118"/>
    </row>
    <row r="9" spans="1:11" ht="12.75">
      <c r="A9" s="36"/>
      <c r="E9" s="38"/>
      <c r="G9" s="38"/>
    </row>
    <row r="10" spans="1:11" ht="12.75">
      <c r="A10" s="39">
        <f ca="1">IFERROR(__xludf.DUMMYFUNCTION("IMPORTRANGE(""1qeeFCJCFKucGS14M4JpkDHd4OgBncP16-nnB1TgVYa4"",""FO!A10"")"),19)</f>
        <v>19</v>
      </c>
      <c r="B10" s="40" t="s">
        <v>117</v>
      </c>
      <c r="E10" s="38"/>
      <c r="F10" s="41"/>
      <c r="G10" s="41"/>
      <c r="H10" s="41"/>
      <c r="I10" s="41"/>
      <c r="J10" s="41"/>
      <c r="K10" s="41" t="s">
        <v>79</v>
      </c>
    </row>
    <row r="11" spans="1:11" ht="12.75">
      <c r="A11" s="36"/>
      <c r="E11" s="38"/>
      <c r="F11" s="41"/>
      <c r="G11" s="43"/>
      <c r="H11" s="43"/>
      <c r="I11" s="43"/>
      <c r="J11" s="43"/>
      <c r="K11" s="43"/>
    </row>
    <row r="12" spans="1:11">
      <c r="A12" s="44" t="s">
        <v>80</v>
      </c>
      <c r="B12" s="45" t="s">
        <v>81</v>
      </c>
      <c r="C12" s="44" t="s">
        <v>82</v>
      </c>
      <c r="D12" s="44" t="s">
        <v>83</v>
      </c>
      <c r="E12" s="44" t="s">
        <v>84</v>
      </c>
      <c r="F12" s="44" t="s">
        <v>85</v>
      </c>
      <c r="G12" s="44" t="s">
        <v>86</v>
      </c>
      <c r="H12" s="44" t="s">
        <v>118</v>
      </c>
      <c r="I12" s="44" t="s">
        <v>119</v>
      </c>
      <c r="J12" s="44" t="s">
        <v>120</v>
      </c>
      <c r="K12" s="44" t="s">
        <v>87</v>
      </c>
    </row>
    <row r="13" spans="1:11" ht="14.25">
      <c r="A13" s="85">
        <f ca="1">IFERROR(__xludf.DUMMYFUNCTION("IMPORTRANGE(""1qeeFCJCFKucGS14M4JpkDHd4OgBncP16-nnB1TgVYa4"",""FO!A13:K2000"")"),1)</f>
        <v>1</v>
      </c>
      <c r="B13" s="86" t="str">
        <f ca="1">IFERROR(__xludf.DUMMYFUNCTION("""COMPUTED_VALUE"""),"512885")</f>
        <v>512885</v>
      </c>
      <c r="C13" s="87" t="str">
        <f ca="1">IFERROR(__xludf.DUMMYFUNCTION("""COMPUTED_VALUE"""),"BARCELO")</f>
        <v>BARCELO</v>
      </c>
      <c r="D13" s="88" t="str">
        <f ca="1">IFERROR(__xludf.DUMMYFUNCTION("""COMPUTED_VALUE"""),"Emmanuel")</f>
        <v>Emmanuel</v>
      </c>
      <c r="E13" s="89" t="str">
        <f ca="1">IFERROR(__xludf.DUMMYFUNCTION("""COMPUTED_VALUE"""),"06510018")</f>
        <v>06510018</v>
      </c>
      <c r="F13" s="90" t="str">
        <f ca="1">IFERROR(__xludf.DUMMYFUNCTION("""COMPUTED_VALUE"""),"REIMS ASPTT")</f>
        <v>REIMS ASPTT</v>
      </c>
      <c r="G13" s="91" t="str">
        <f ca="1">IFERROR(__xludf.DUMMYFUNCTION("""COMPUTED_VALUE"""),"CD51")</f>
        <v>CD51</v>
      </c>
      <c r="H13" s="92" t="str">
        <f ca="1">IFERROR(__xludf.DUMMYFUNCTION("""COMPUTED_VALUE"""),"FO JA2/JA3")</f>
        <v>FO JA2/JA3</v>
      </c>
      <c r="I13" s="91"/>
      <c r="J13" s="91" t="str">
        <f ca="1">IFERROR(__xludf.DUMMYFUNCTION("""COMPUTED_VALUE"""),"OUI")</f>
        <v>OUI</v>
      </c>
      <c r="K13" s="91" t="str">
        <f ca="1">IFERROR(__xludf.DUMMYFUNCTION("""COMPUTED_VALUE"""),"actif")</f>
        <v>actif</v>
      </c>
    </row>
    <row r="14" spans="1:11" ht="14.25">
      <c r="A14" s="85">
        <f ca="1">IFERROR(__xludf.DUMMYFUNCTION("""COMPUTED_VALUE"""),2)</f>
        <v>2</v>
      </c>
      <c r="B14" s="93" t="str">
        <f ca="1">IFERROR(__xludf.DUMMYFUNCTION("""COMPUTED_VALUE"""),"575377")</f>
        <v>575377</v>
      </c>
      <c r="C14" s="94" t="str">
        <f ca="1">IFERROR(__xludf.DUMMYFUNCTION("""COMPUTED_VALUE"""),"BLANCHARD")</f>
        <v>BLANCHARD</v>
      </c>
      <c r="D14" s="95" t="str">
        <f ca="1">IFERROR(__xludf.DUMMYFUNCTION("""COMPUTED_VALUE"""),"Vincent")</f>
        <v>Vincent</v>
      </c>
      <c r="E14" s="89" t="str">
        <f ca="1">IFERROR(__xludf.DUMMYFUNCTION("""COMPUTED_VALUE"""),"06570005")</f>
        <v>06570005</v>
      </c>
      <c r="F14" s="90" t="str">
        <f ca="1">IFERROR(__xludf.DUMMYFUNCTION("""COMPUTED_VALUE"""),"FAULQUEMONT E.S.C.")</f>
        <v>FAULQUEMONT E.S.C.</v>
      </c>
      <c r="G14" s="91" t="str">
        <f ca="1">IFERROR(__xludf.DUMMYFUNCTION("""COMPUTED_VALUE"""),"CD57")</f>
        <v>CD57</v>
      </c>
      <c r="H14" s="96" t="str">
        <f ca="1">IFERROR(__xludf.DUMMYFUNCTION("""COMPUTED_VALUE"""),"FO JAN")</f>
        <v>FO JAN</v>
      </c>
      <c r="I14" s="97" t="str">
        <f ca="1">IFERROR(__xludf.DUMMYFUNCTION("""COMPUTED_VALUE"""),"FO de FO")</f>
        <v>FO de FO</v>
      </c>
      <c r="J14" s="91" t="str">
        <f ca="1">IFERROR(__xludf.DUMMYFUNCTION("""COMPUTED_VALUE"""),"OUI")</f>
        <v>OUI</v>
      </c>
      <c r="K14" s="91" t="str">
        <f ca="1">IFERROR(__xludf.DUMMYFUNCTION("""COMPUTED_VALUE"""),"actif")</f>
        <v>actif</v>
      </c>
    </row>
    <row r="15" spans="1:11" ht="14.25">
      <c r="A15" s="85">
        <f ca="1">IFERROR(__xludf.DUMMYFUNCTION("""COMPUTED_VALUE"""),3)</f>
        <v>3</v>
      </c>
      <c r="B15" s="86" t="str">
        <f ca="1">IFERROR(__xludf.DUMMYFUNCTION("""COMPUTED_VALUE"""),"673078")</f>
        <v>673078</v>
      </c>
      <c r="C15" s="87" t="str">
        <f ca="1">IFERROR(__xludf.DUMMYFUNCTION("""COMPUTED_VALUE"""),"BLANCKAERT")</f>
        <v>BLANCKAERT</v>
      </c>
      <c r="D15" s="87" t="str">
        <f ca="1">IFERROR(__xludf.DUMMYFUNCTION("""COMPUTED_VALUE"""),"Georges")</f>
        <v>Georges</v>
      </c>
      <c r="E15" s="89" t="str">
        <f ca="1">IFERROR(__xludf.DUMMYFUNCTION("""COMPUTED_VALUE"""),"06670183")</f>
        <v>06670183</v>
      </c>
      <c r="F15" s="90" t="str">
        <f ca="1">IFERROR(__xludf.DUMMYFUNCTION("""COMPUTED_VALUE"""),"FCJ BOOTZHEIM")</f>
        <v>FCJ BOOTZHEIM</v>
      </c>
      <c r="G15" s="91" t="str">
        <f ca="1">IFERROR(__xludf.DUMMYFUNCTION("""COMPUTED_VALUE"""),"CD67")</f>
        <v>CD67</v>
      </c>
      <c r="H15" s="92" t="str">
        <f ca="1">IFERROR(__xludf.DUMMYFUNCTION("""COMPUTED_VALUE"""),"FO AR/JA1")</f>
        <v>FO AR/JA1</v>
      </c>
      <c r="I15" s="91"/>
      <c r="J15" s="91" t="str">
        <f ca="1">IFERROR(__xludf.DUMMYFUNCTION("""COMPUTED_VALUE"""),"NON")</f>
        <v>NON</v>
      </c>
      <c r="K15" s="91" t="str">
        <f ca="1">IFERROR(__xludf.DUMMYFUNCTION("""COMPUTED_VALUE"""),"actif")</f>
        <v>actif</v>
      </c>
    </row>
    <row r="16" spans="1:11" ht="14.25">
      <c r="A16" s="85">
        <f ca="1">IFERROR(__xludf.DUMMYFUNCTION("""COMPUTED_VALUE"""),4)</f>
        <v>4</v>
      </c>
      <c r="B16" s="86" t="str">
        <f ca="1">IFERROR(__xludf.DUMMYFUNCTION("""COMPUTED_VALUE"""),"089612")</f>
        <v>089612</v>
      </c>
      <c r="C16" s="87" t="str">
        <f ca="1">IFERROR(__xludf.DUMMYFUNCTION("""COMPUTED_VALUE"""),"BRACONNIER")</f>
        <v>BRACONNIER</v>
      </c>
      <c r="D16" s="87" t="str">
        <f ca="1">IFERROR(__xludf.DUMMYFUNCTION("""COMPUTED_VALUE"""),"Jean-Michel")</f>
        <v>Jean-Michel</v>
      </c>
      <c r="E16" s="89" t="str">
        <f ca="1">IFERROR(__xludf.DUMMYFUNCTION("""COMPUTED_VALUE"""),"06080082")</f>
        <v>06080082</v>
      </c>
      <c r="F16" s="90" t="str">
        <f ca="1">IFERROR(__xludf.DUMMYFUNCTION("""COMPUTED_VALUE"""),"GLAIRE ASTT")</f>
        <v>GLAIRE ASTT</v>
      </c>
      <c r="G16" s="91" t="str">
        <f ca="1">IFERROR(__xludf.DUMMYFUNCTION("""COMPUTED_VALUE"""),"CD08")</f>
        <v>CD08</v>
      </c>
      <c r="H16" s="92" t="str">
        <f ca="1">IFERROR(__xludf.DUMMYFUNCTION("""COMPUTED_VALUE"""),"FO AR/JA1")</f>
        <v>FO AR/JA1</v>
      </c>
      <c r="I16" s="91"/>
      <c r="J16" s="91" t="str">
        <f ca="1">IFERROR(__xludf.DUMMYFUNCTION("""COMPUTED_VALUE"""),"OUI")</f>
        <v>OUI</v>
      </c>
      <c r="K16" s="91" t="str">
        <f ca="1">IFERROR(__xludf.DUMMYFUNCTION("""COMPUTED_VALUE"""),"actif")</f>
        <v>actif</v>
      </c>
    </row>
    <row r="17" spans="1:11" ht="14.25">
      <c r="A17" s="85">
        <f ca="1">IFERROR(__xludf.DUMMYFUNCTION("""COMPUTED_VALUE"""),5)</f>
        <v>5</v>
      </c>
      <c r="B17" s="86" t="str">
        <f ca="1">IFERROR(__xludf.DUMMYFUNCTION("""COMPUTED_VALUE"""),"548971")</f>
        <v>548971</v>
      </c>
      <c r="C17" s="87" t="str">
        <f ca="1">IFERROR(__xludf.DUMMYFUNCTION("""COMPUTED_VALUE"""),"CHRISTAL")</f>
        <v>CHRISTAL</v>
      </c>
      <c r="D17" s="87" t="str">
        <f ca="1">IFERROR(__xludf.DUMMYFUNCTION("""COMPUTED_VALUE"""),"Virginie")</f>
        <v>Virginie</v>
      </c>
      <c r="E17" s="89" t="str">
        <f ca="1">IFERROR(__xludf.DUMMYFUNCTION("""COMPUTED_VALUE"""),"06540088")</f>
        <v>06540088</v>
      </c>
      <c r="F17" s="90" t="str">
        <f ca="1">IFERROR(__xludf.DUMMYFUNCTION("""COMPUTED_VALUE"""),"CHANTEHEUX TT")</f>
        <v>CHANTEHEUX TT</v>
      </c>
      <c r="G17" s="91" t="str">
        <f ca="1">IFERROR(__xludf.DUMMYFUNCTION("""COMPUTED_VALUE"""),"CD54")</f>
        <v>CD54</v>
      </c>
      <c r="H17" s="92" t="str">
        <f ca="1">IFERROR(__xludf.DUMMYFUNCTION("""COMPUTED_VALUE"""),"FO AR/JA1")</f>
        <v>FO AR/JA1</v>
      </c>
      <c r="I17" s="91"/>
      <c r="J17" s="91" t="str">
        <f ca="1">IFERROR(__xludf.DUMMYFUNCTION("""COMPUTED_VALUE"""),"OUI")</f>
        <v>OUI</v>
      </c>
      <c r="K17" s="91" t="str">
        <f ca="1">IFERROR(__xludf.DUMMYFUNCTION("""COMPUTED_VALUE"""),"actif")</f>
        <v>actif</v>
      </c>
    </row>
    <row r="18" spans="1:11" ht="14.25">
      <c r="A18" s="85">
        <f ca="1">IFERROR(__xludf.DUMMYFUNCTION("""COMPUTED_VALUE"""),6)</f>
        <v>6</v>
      </c>
      <c r="B18" s="86" t="str">
        <f ca="1">IFERROR(__xludf.DUMMYFUNCTION("""COMPUTED_VALUE"""),"106456")</f>
        <v>106456</v>
      </c>
      <c r="C18" s="87" t="str">
        <f ca="1">IFERROR(__xludf.DUMMYFUNCTION("""COMPUTED_VALUE"""),"COUSIN")</f>
        <v>COUSIN</v>
      </c>
      <c r="D18" s="87" t="str">
        <f ca="1">IFERROR(__xludf.DUMMYFUNCTION("""COMPUTED_VALUE"""),"Pierre-Alexandre")</f>
        <v>Pierre-Alexandre</v>
      </c>
      <c r="E18" s="89" t="str">
        <f ca="1">IFERROR(__xludf.DUMMYFUNCTION("""COMPUTED_VALUE"""),"06100002")</f>
        <v>06100002</v>
      </c>
      <c r="F18" s="90" t="str">
        <f ca="1">IFERROR(__xludf.DUMMYFUNCTION("""COMPUTED_VALUE"""),"TROYES O.S - NOËS TT")</f>
        <v>TROYES O.S - NOËS TT</v>
      </c>
      <c r="G18" s="91" t="str">
        <f ca="1">IFERROR(__xludf.DUMMYFUNCTION("""COMPUTED_VALUE"""),"CD10")</f>
        <v>CD10</v>
      </c>
      <c r="H18" s="92" t="str">
        <f ca="1">IFERROR(__xludf.DUMMYFUNCTION("""COMPUTED_VALUE"""),"FO AR/JA1")</f>
        <v>FO AR/JA1</v>
      </c>
      <c r="I18" s="91"/>
      <c r="J18" s="91" t="str">
        <f ca="1">IFERROR(__xludf.DUMMYFUNCTION("""COMPUTED_VALUE"""),"OUI")</f>
        <v>OUI</v>
      </c>
      <c r="K18" s="91" t="str">
        <f ca="1">IFERROR(__xludf.DUMMYFUNCTION("""COMPUTED_VALUE"""),"actif")</f>
        <v>actif</v>
      </c>
    </row>
    <row r="19" spans="1:11" ht="14.25">
      <c r="A19" s="85">
        <f ca="1">IFERROR(__xludf.DUMMYFUNCTION("""COMPUTED_VALUE"""),7)</f>
        <v>7</v>
      </c>
      <c r="B19" s="86" t="str">
        <f ca="1">IFERROR(__xludf.DUMMYFUNCTION("""COMPUTED_VALUE"""),"5718244")</f>
        <v>5718244</v>
      </c>
      <c r="C19" s="87" t="str">
        <f ca="1">IFERROR(__xludf.DUMMYFUNCTION("""COMPUTED_VALUE"""),"DECLOMESNIL")</f>
        <v>DECLOMESNIL</v>
      </c>
      <c r="D19" s="87" t="str">
        <f ca="1">IFERROR(__xludf.DUMMYFUNCTION("""COMPUTED_VALUE"""),"Yohan")</f>
        <v>Yohan</v>
      </c>
      <c r="E19" s="89" t="str">
        <f ca="1">IFERROR(__xludf.DUMMYFUNCTION("""COMPUTED_VALUE"""),"06570024")</f>
        <v>06570024</v>
      </c>
      <c r="F19" s="90" t="str">
        <f ca="1">IFERROR(__xludf.DUMMYFUNCTION("""COMPUTED_VALUE"""),"THIONVILLE Tennis de Table")</f>
        <v>THIONVILLE Tennis de Table</v>
      </c>
      <c r="G19" s="91" t="str">
        <f ca="1">IFERROR(__xludf.DUMMYFUNCTION("""COMPUTED_VALUE"""),"CD57")</f>
        <v>CD57</v>
      </c>
      <c r="H19" s="92" t="str">
        <f ca="1">IFERROR(__xludf.DUMMYFUNCTION("""COMPUTED_VALUE"""),"FO AN/JA2/JA3")</f>
        <v>FO AN/JA2/JA3</v>
      </c>
      <c r="I19" s="91"/>
      <c r="J19" s="91" t="str">
        <f ca="1">IFERROR(__xludf.DUMMYFUNCTION("""COMPUTED_VALUE"""),"OUI")</f>
        <v>OUI</v>
      </c>
      <c r="K19" s="98" t="str">
        <f ca="1">IFERROR(__xludf.DUMMYFUNCTION("""COMPUTED_VALUE"""),"actif")</f>
        <v>actif</v>
      </c>
    </row>
    <row r="20" spans="1:11" ht="14.25">
      <c r="A20" s="85">
        <f ca="1">IFERROR(__xludf.DUMMYFUNCTION("""COMPUTED_VALUE"""),8)</f>
        <v>8</v>
      </c>
      <c r="B20" s="86" t="str">
        <f ca="1">IFERROR(__xludf.DUMMYFUNCTION("""COMPUTED_VALUE"""),"5417956")</f>
        <v>5417956</v>
      </c>
      <c r="C20" s="87" t="str">
        <f ca="1">IFERROR(__xludf.DUMMYFUNCTION("""COMPUTED_VALUE"""),"DEPARDIEU")</f>
        <v>DEPARDIEU</v>
      </c>
      <c r="D20" s="87" t="str">
        <f ca="1">IFERROR(__xludf.DUMMYFUNCTION("""COMPUTED_VALUE"""),"Jean Marie")</f>
        <v>Jean Marie</v>
      </c>
      <c r="E20" s="89" t="str">
        <f ca="1">IFERROR(__xludf.DUMMYFUNCTION("""COMPUTED_VALUE"""),"06540198")</f>
        <v>06540198</v>
      </c>
      <c r="F20" s="90" t="str">
        <f ca="1">IFERROR(__xludf.DUMMYFUNCTION("""COMPUTED_VALUE"""),"VANDOEUVRE ASTT")</f>
        <v>VANDOEUVRE ASTT</v>
      </c>
      <c r="G20" s="91" t="str">
        <f ca="1">IFERROR(__xludf.DUMMYFUNCTION("""COMPUTED_VALUE"""),"CD54")</f>
        <v>CD54</v>
      </c>
      <c r="H20" s="92" t="str">
        <f ca="1">IFERROR(__xludf.DUMMYFUNCTION("""COMPUTED_VALUE"""),"FO JA2/JA3")</f>
        <v>FO JA2/JA3</v>
      </c>
      <c r="I20" s="91"/>
      <c r="J20" s="91" t="str">
        <f ca="1">IFERROR(__xludf.DUMMYFUNCTION("""COMPUTED_VALUE"""),"OUI")</f>
        <v>OUI</v>
      </c>
      <c r="K20" s="91" t="str">
        <f ca="1">IFERROR(__xludf.DUMMYFUNCTION("""COMPUTED_VALUE"""),"actif")</f>
        <v>actif</v>
      </c>
    </row>
    <row r="21" spans="1:11" ht="14.25">
      <c r="A21" s="85">
        <f ca="1">IFERROR(__xludf.DUMMYFUNCTION("""COMPUTED_VALUE"""),9)</f>
        <v>9</v>
      </c>
      <c r="B21" s="86" t="str">
        <f ca="1">IFERROR(__xludf.DUMMYFUNCTION("""COMPUTED_VALUE"""),"084535")</f>
        <v>084535</v>
      </c>
      <c r="C21" s="87" t="str">
        <f ca="1">IFERROR(__xludf.DUMMYFUNCTION("""COMPUTED_VALUE"""),"DUSSART")</f>
        <v>DUSSART</v>
      </c>
      <c r="D21" s="87" t="str">
        <f ca="1">IFERROR(__xludf.DUMMYFUNCTION("""COMPUTED_VALUE"""),"Aurore")</f>
        <v>Aurore</v>
      </c>
      <c r="E21" s="89" t="str">
        <f ca="1">IFERROR(__xludf.DUMMYFUNCTION("""COMPUTED_VALUE"""),"06540040")</f>
        <v>06540040</v>
      </c>
      <c r="F21" s="90" t="str">
        <f ca="1">IFERROR(__xludf.DUMMYFUNCTION("""COMPUTED_VALUE"""),"VILLERS LES NANCY C.O.S.")</f>
        <v>VILLERS LES NANCY C.O.S.</v>
      </c>
      <c r="G21" s="91" t="str">
        <f ca="1">IFERROR(__xludf.DUMMYFUNCTION("""COMPUTED_VALUE"""),"CD54")</f>
        <v>CD54</v>
      </c>
      <c r="H21" s="92" t="str">
        <f ca="1">IFERROR(__xludf.DUMMYFUNCTION("""COMPUTED_VALUE"""),"FO AR/JA1")</f>
        <v>FO AR/JA1</v>
      </c>
      <c r="I21" s="91"/>
      <c r="J21" s="91" t="str">
        <f ca="1">IFERROR(__xludf.DUMMYFUNCTION("""COMPUTED_VALUE"""),"OUI")</f>
        <v>OUI</v>
      </c>
      <c r="K21" s="91" t="str">
        <f ca="1">IFERROR(__xludf.DUMMYFUNCTION("""COMPUTED_VALUE"""),"actif")</f>
        <v>actif</v>
      </c>
    </row>
    <row r="22" spans="1:11" ht="14.25">
      <c r="A22" s="85">
        <f ca="1">IFERROR(__xludf.DUMMYFUNCTION("""COMPUTED_VALUE"""),10)</f>
        <v>10</v>
      </c>
      <c r="B22" s="86" t="str">
        <f ca="1">IFERROR(__xludf.DUMMYFUNCTION("""COMPUTED_VALUE"""),"551338")</f>
        <v>551338</v>
      </c>
      <c r="C22" s="87" t="str">
        <f ca="1">IFERROR(__xludf.DUMMYFUNCTION("""COMPUTED_VALUE"""),"GERMAIN")</f>
        <v>GERMAIN</v>
      </c>
      <c r="D22" s="87" t="str">
        <f ca="1">IFERROR(__xludf.DUMMYFUNCTION("""COMPUTED_VALUE"""),"Catherine")</f>
        <v>Catherine</v>
      </c>
      <c r="E22" s="89" t="str">
        <f ca="1">IFERROR(__xludf.DUMMYFUNCTION("""COMPUTED_VALUE"""),"06550020")</f>
        <v>06550020</v>
      </c>
      <c r="F22" s="90" t="str">
        <f ca="1">IFERROR(__xludf.DUMMYFUNCTION("""COMPUTED_VALUE"""),"FAINS LES SOURCES AEL")</f>
        <v>FAINS LES SOURCES AEL</v>
      </c>
      <c r="G22" s="91" t="str">
        <f ca="1">IFERROR(__xludf.DUMMYFUNCTION("""COMPUTED_VALUE"""),"CD55")</f>
        <v>CD55</v>
      </c>
      <c r="H22" s="92" t="str">
        <f ca="1">IFERROR(__xludf.DUMMYFUNCTION("""COMPUTED_VALUE"""),"FO AR/JA1")</f>
        <v>FO AR/JA1</v>
      </c>
      <c r="I22" s="91"/>
      <c r="J22" s="91" t="str">
        <f ca="1">IFERROR(__xludf.DUMMYFUNCTION("""COMPUTED_VALUE"""),"NON")</f>
        <v>NON</v>
      </c>
      <c r="K22" s="91" t="str">
        <f ca="1">IFERROR(__xludf.DUMMYFUNCTION("""COMPUTED_VALUE"""),"actif")</f>
        <v>actif</v>
      </c>
    </row>
    <row r="23" spans="1:11" ht="14.25">
      <c r="A23" s="85">
        <f ca="1">IFERROR(__xludf.DUMMYFUNCTION("""COMPUTED_VALUE"""),11)</f>
        <v>11</v>
      </c>
      <c r="B23" s="86" t="str">
        <f ca="1">IFERROR(__xludf.DUMMYFUNCTION("""COMPUTED_VALUE"""),"523924")</f>
        <v>523924</v>
      </c>
      <c r="C23" s="87" t="str">
        <f ca="1">IFERROR(__xludf.DUMMYFUNCTION("""COMPUTED_VALUE"""),"GIRAULT")</f>
        <v>GIRAULT</v>
      </c>
      <c r="D23" s="87" t="str">
        <f ca="1">IFERROR(__xludf.DUMMYFUNCTION("""COMPUTED_VALUE"""),"Germain")</f>
        <v>Germain</v>
      </c>
      <c r="E23" s="89" t="str">
        <f ca="1">IFERROR(__xludf.DUMMYFUNCTION("""COMPUTED_VALUE"""),"06100007")</f>
        <v>06100007</v>
      </c>
      <c r="F23" s="90" t="str">
        <f ca="1">IFERROR(__xludf.DUMMYFUNCTION("""COMPUTED_VALUE"""),"ST PARRES AUX TERTRES AST")</f>
        <v>ST PARRES AUX TERTRES AST</v>
      </c>
      <c r="G23" s="91" t="str">
        <f ca="1">IFERROR(__xludf.DUMMYFUNCTION("""COMPUTED_VALUE"""),"CD10")</f>
        <v>CD10</v>
      </c>
      <c r="H23" s="92" t="str">
        <f ca="1">IFERROR(__xludf.DUMMYFUNCTION("""COMPUTED_VALUE"""),"FO AR/JA1")</f>
        <v>FO AR/JA1</v>
      </c>
      <c r="I23" s="91"/>
      <c r="J23" s="91" t="str">
        <f ca="1">IFERROR(__xludf.DUMMYFUNCTION("""COMPUTED_VALUE"""),"NON")</f>
        <v>NON</v>
      </c>
      <c r="K23" s="91" t="str">
        <f ca="1">IFERROR(__xludf.DUMMYFUNCTION("""COMPUTED_VALUE"""),"actif")</f>
        <v>actif</v>
      </c>
    </row>
    <row r="24" spans="1:11" ht="14.25">
      <c r="A24" s="85">
        <f ca="1">IFERROR(__xludf.DUMMYFUNCTION("""COMPUTED_VALUE"""),12)</f>
        <v>12</v>
      </c>
      <c r="B24" s="99" t="str">
        <f ca="1">IFERROR(__xludf.DUMMYFUNCTION("""COMPUTED_VALUE"""),"688426")</f>
        <v>688426</v>
      </c>
      <c r="C24" s="87" t="str">
        <f ca="1">IFERROR(__xludf.DUMMYFUNCTION("""COMPUTED_VALUE"""),"HOLLANDER")</f>
        <v>HOLLANDER</v>
      </c>
      <c r="D24" s="87" t="str">
        <f ca="1">IFERROR(__xludf.DUMMYFUNCTION("""COMPUTED_VALUE"""),"Astrid")</f>
        <v>Astrid</v>
      </c>
      <c r="E24" s="100" t="str">
        <f ca="1">IFERROR(__xludf.DUMMYFUNCTION("""COMPUTED_VALUE"""),"06680004")</f>
        <v>06680004</v>
      </c>
      <c r="F24" s="101" t="str">
        <f ca="1">IFERROR(__xludf.DUMMYFUNCTION("""COMPUTED_VALUE"""),"COLMAR MJC")</f>
        <v>COLMAR MJC</v>
      </c>
      <c r="G24" s="98" t="str">
        <f ca="1">IFERROR(__xludf.DUMMYFUNCTION("""COMPUTED_VALUE"""),"CD68")</f>
        <v>CD68</v>
      </c>
      <c r="H24" s="92" t="str">
        <f ca="1">IFERROR(__xludf.DUMMYFUNCTION("""COMPUTED_VALUE"""),"FO AR/JA1")</f>
        <v>FO AR/JA1</v>
      </c>
      <c r="I24" s="91"/>
      <c r="J24" s="91" t="str">
        <f ca="1">IFERROR(__xludf.DUMMYFUNCTION("""COMPUTED_VALUE"""),"OUI")</f>
        <v>OUI</v>
      </c>
      <c r="K24" s="91" t="str">
        <f ca="1">IFERROR(__xludf.DUMMYFUNCTION("""COMPUTED_VALUE"""),"actif")</f>
        <v>actif</v>
      </c>
    </row>
    <row r="25" spans="1:11" ht="14.25">
      <c r="A25" s="85">
        <f ca="1">IFERROR(__xludf.DUMMYFUNCTION("""COMPUTED_VALUE"""),13)</f>
        <v>13</v>
      </c>
      <c r="B25" s="86" t="str">
        <f ca="1">IFERROR(__xludf.DUMMYFUNCTION("""COMPUTED_VALUE"""),"5410797")</f>
        <v>5410797</v>
      </c>
      <c r="C25" s="87" t="str">
        <f ca="1">IFERROR(__xludf.DUMMYFUNCTION("""COMPUTED_VALUE"""),"LAPICQUE")</f>
        <v>LAPICQUE</v>
      </c>
      <c r="D25" s="87" t="str">
        <f ca="1">IFERROR(__xludf.DUMMYFUNCTION("""COMPUTED_VALUE"""),"Francoise")</f>
        <v>Francoise</v>
      </c>
      <c r="E25" s="89" t="str">
        <f ca="1">IFERROR(__xludf.DUMMYFUNCTION("""COMPUTED_VALUE"""),"06540040")</f>
        <v>06540040</v>
      </c>
      <c r="F25" s="90" t="str">
        <f ca="1">IFERROR(__xludf.DUMMYFUNCTION("""COMPUTED_VALUE"""),"VILLERS LES NANCY C.O.S.")</f>
        <v>VILLERS LES NANCY C.O.S.</v>
      </c>
      <c r="G25" s="91" t="str">
        <f ca="1">IFERROR(__xludf.DUMMYFUNCTION("""COMPUTED_VALUE"""),"CD54")</f>
        <v>CD54</v>
      </c>
      <c r="H25" s="92" t="str">
        <f ca="1">IFERROR(__xludf.DUMMYFUNCTION("""COMPUTED_VALUE"""),"FO JAN")</f>
        <v>FO JAN</v>
      </c>
      <c r="I25" s="91" t="str">
        <f ca="1">IFERROR(__xludf.DUMMYFUNCTION("""COMPUTED_VALUE"""),"FO de FO")</f>
        <v>FO de FO</v>
      </c>
      <c r="J25" s="91" t="str">
        <f ca="1">IFERROR(__xludf.DUMMYFUNCTION("""COMPUTED_VALUE"""),"OUI")</f>
        <v>OUI</v>
      </c>
      <c r="K25" s="91" t="str">
        <f ca="1">IFERROR(__xludf.DUMMYFUNCTION("""COMPUTED_VALUE"""),"actif")</f>
        <v>actif</v>
      </c>
    </row>
    <row r="26" spans="1:11" ht="14.25">
      <c r="A26" s="85">
        <f ca="1">IFERROR(__xludf.DUMMYFUNCTION("""COMPUTED_VALUE"""),14)</f>
        <v>14</v>
      </c>
      <c r="B26" s="86" t="str">
        <f ca="1">IFERROR(__xludf.DUMMYFUNCTION("""COMPUTED_VALUE"""),"101554")</f>
        <v>101554</v>
      </c>
      <c r="C26" s="87" t="str">
        <f ca="1">IFERROR(__xludf.DUMMYFUNCTION("""COMPUTED_VALUE"""),"LARCHER")</f>
        <v>LARCHER</v>
      </c>
      <c r="D26" s="87" t="str">
        <f ca="1">IFERROR(__xludf.DUMMYFUNCTION("""COMPUTED_VALUE"""),"Claudie")</f>
        <v>Claudie</v>
      </c>
      <c r="E26" s="89" t="str">
        <f ca="1">IFERROR(__xludf.DUMMYFUNCTION("""COMPUTED_VALUE"""),"06100015")</f>
        <v>06100015</v>
      </c>
      <c r="F26" s="102" t="str">
        <f ca="1">IFERROR(__xludf.DUMMYFUNCTION("""COMPUTED_VALUE"""),"TROYES JEUNE GARDE")</f>
        <v>TROYES JEUNE GARDE</v>
      </c>
      <c r="G26" s="91" t="str">
        <f ca="1">IFERROR(__xludf.DUMMYFUNCTION("""COMPUTED_VALUE"""),"CD10")</f>
        <v>CD10</v>
      </c>
      <c r="H26" s="92" t="str">
        <f ca="1">IFERROR(__xludf.DUMMYFUNCTION("""COMPUTED_VALUE"""),"FO AR/JA1")</f>
        <v>FO AR/JA1</v>
      </c>
      <c r="I26" s="91"/>
      <c r="J26" s="91" t="str">
        <f ca="1">IFERROR(__xludf.DUMMYFUNCTION("""COMPUTED_VALUE"""),"OUI")</f>
        <v>OUI</v>
      </c>
      <c r="K26" s="91" t="str">
        <f ca="1">IFERROR(__xludf.DUMMYFUNCTION("""COMPUTED_VALUE"""),"actif")</f>
        <v>actif</v>
      </c>
    </row>
    <row r="27" spans="1:11" ht="14.25">
      <c r="A27" s="85">
        <f ca="1">IFERROR(__xludf.DUMMYFUNCTION("""COMPUTED_VALUE"""),15)</f>
        <v>15</v>
      </c>
      <c r="B27" s="86" t="str">
        <f ca="1">IFERROR(__xludf.DUMMYFUNCTION("""COMPUTED_VALUE"""),"10105")</f>
        <v>10105</v>
      </c>
      <c r="C27" s="87" t="str">
        <f ca="1">IFERROR(__xludf.DUMMYFUNCTION("""COMPUTED_VALUE"""),"LIEBON")</f>
        <v>LIEBON</v>
      </c>
      <c r="D27" s="87" t="str">
        <f ca="1">IFERROR(__xludf.DUMMYFUNCTION("""COMPUTED_VALUE"""),"Jean-Claude")</f>
        <v>Jean-Claude</v>
      </c>
      <c r="E27" s="89" t="str">
        <f ca="1">IFERROR(__xludf.DUMMYFUNCTION("""COMPUTED_VALUE"""),"06100016")</f>
        <v>06100016</v>
      </c>
      <c r="F27" s="101" t="str">
        <f ca="1">IFERROR(__xludf.DUMMYFUNCTION("""COMPUTED_VALUE"""),"BAR SUR SEINE FJ")</f>
        <v>BAR SUR SEINE FJ</v>
      </c>
      <c r="G27" s="91" t="str">
        <f ca="1">IFERROR(__xludf.DUMMYFUNCTION("""COMPUTED_VALUE"""),"CD10")</f>
        <v>CD10</v>
      </c>
      <c r="H27" s="92" t="str">
        <f ca="1">IFERROR(__xludf.DUMMYFUNCTION("""COMPUTED_VALUE"""),"FO JA2/JA3")</f>
        <v>FO JA2/JA3</v>
      </c>
      <c r="I27" s="91"/>
      <c r="J27" s="91" t="str">
        <f ca="1">IFERROR(__xludf.DUMMYFUNCTION("""COMPUTED_VALUE"""),"NON")</f>
        <v>NON</v>
      </c>
      <c r="K27" s="91" t="str">
        <f ca="1">IFERROR(__xludf.DUMMYFUNCTION("""COMPUTED_VALUE"""),"actif")</f>
        <v>actif</v>
      </c>
    </row>
    <row r="28" spans="1:11" ht="14.25">
      <c r="A28" s="85">
        <f ca="1">IFERROR(__xludf.DUMMYFUNCTION("""COMPUTED_VALUE"""),16)</f>
        <v>16</v>
      </c>
      <c r="B28" s="86" t="str">
        <f ca="1">IFERROR(__xludf.DUMMYFUNCTION("""COMPUTED_VALUE"""),"88351")</f>
        <v>88351</v>
      </c>
      <c r="C28" s="87" t="str">
        <f ca="1">IFERROR(__xludf.DUMMYFUNCTION("""COMPUTED_VALUE"""),"MATHIS")</f>
        <v>MATHIS</v>
      </c>
      <c r="D28" s="87" t="str">
        <f ca="1">IFERROR(__xludf.DUMMYFUNCTION("""COMPUTED_VALUE"""),"Eric")</f>
        <v>Eric</v>
      </c>
      <c r="E28" s="89" t="str">
        <f ca="1">IFERROR(__xludf.DUMMYFUNCTION("""COMPUTED_VALUE"""),"06880066")</f>
        <v>06880066</v>
      </c>
      <c r="F28" s="90" t="str">
        <f ca="1">IFERROR(__xludf.DUMMYFUNCTION("""COMPUTED_VALUE"""),"ELOYES C.L.L.T.T.")</f>
        <v>ELOYES C.L.L.T.T.</v>
      </c>
      <c r="G28" s="91" t="str">
        <f ca="1">IFERROR(__xludf.DUMMYFUNCTION("""COMPUTED_VALUE"""),"CD88")</f>
        <v>CD88</v>
      </c>
      <c r="H28" s="92" t="str">
        <f ca="1">IFERROR(__xludf.DUMMYFUNCTION("""COMPUTED_VALUE"""),"FO AR/JA1")</f>
        <v>FO AR/JA1</v>
      </c>
      <c r="I28" s="91"/>
      <c r="J28" s="91" t="str">
        <f ca="1">IFERROR(__xludf.DUMMYFUNCTION("""COMPUTED_VALUE"""),"OUI")</f>
        <v>OUI</v>
      </c>
      <c r="K28" s="91" t="str">
        <f ca="1">IFERROR(__xludf.DUMMYFUNCTION("""COMPUTED_VALUE"""),"actif")</f>
        <v>actif</v>
      </c>
    </row>
    <row r="29" spans="1:11" ht="14.25">
      <c r="A29" s="85">
        <f ca="1">IFERROR(__xludf.DUMMYFUNCTION("""COMPUTED_VALUE"""),17)</f>
        <v>17</v>
      </c>
      <c r="B29" s="86" t="str">
        <f ca="1">IFERROR(__xludf.DUMMYFUNCTION("""COMPUTED_VALUE"""),"5419441")</f>
        <v>5419441</v>
      </c>
      <c r="C29" s="87" t="str">
        <f ca="1">IFERROR(__xludf.DUMMYFUNCTION("""COMPUTED_VALUE"""),"PARMENTELAT")</f>
        <v>PARMENTELAT</v>
      </c>
      <c r="D29" s="87" t="str">
        <f ca="1">IFERROR(__xludf.DUMMYFUNCTION("""COMPUTED_VALUE"""),"Tamara")</f>
        <v>Tamara</v>
      </c>
      <c r="E29" s="89" t="str">
        <f ca="1">IFERROR(__xludf.DUMMYFUNCTION("""COMPUTED_VALUE"""),"06540028")</f>
        <v>06540028</v>
      </c>
      <c r="F29" s="90" t="str">
        <f ca="1">IFERROR(__xludf.DUMMYFUNCTION("""COMPUTED_VALUE"""),"NANCY ASPTT-JARVILLE Jeune")</f>
        <v>NANCY ASPTT-JARVILLE Jeune</v>
      </c>
      <c r="G29" s="91" t="str">
        <f ca="1">IFERROR(__xludf.DUMMYFUNCTION("""COMPUTED_VALUE"""),"CD54")</f>
        <v>CD54</v>
      </c>
      <c r="H29" s="92" t="str">
        <f ca="1">IFERROR(__xludf.DUMMYFUNCTION("""COMPUTED_VALUE"""),"FO AR/JA1")</f>
        <v>FO AR/JA1</v>
      </c>
      <c r="I29" s="91"/>
      <c r="J29" s="91" t="str">
        <f ca="1">IFERROR(__xludf.DUMMYFUNCTION("""COMPUTED_VALUE"""),"OUI")</f>
        <v>OUI</v>
      </c>
      <c r="K29" s="91" t="str">
        <f ca="1">IFERROR(__xludf.DUMMYFUNCTION("""COMPUTED_VALUE"""),"actif")</f>
        <v>actif</v>
      </c>
    </row>
    <row r="30" spans="1:11" ht="14.25">
      <c r="A30" s="85">
        <f ca="1">IFERROR(__xludf.DUMMYFUNCTION("""COMPUTED_VALUE"""),18)</f>
        <v>18</v>
      </c>
      <c r="B30" s="86" t="str">
        <f ca="1">IFERROR(__xludf.DUMMYFUNCTION("""COMPUTED_VALUE"""),"518390")</f>
        <v>518390</v>
      </c>
      <c r="C30" s="87" t="str">
        <f ca="1">IFERROR(__xludf.DUMMYFUNCTION("""COMPUTED_VALUE"""),"PERRON")</f>
        <v>PERRON</v>
      </c>
      <c r="D30" s="87" t="str">
        <f ca="1">IFERROR(__xludf.DUMMYFUNCTION("""COMPUTED_VALUE"""),"Alain")</f>
        <v>Alain</v>
      </c>
      <c r="E30" s="89" t="str">
        <f ca="1">IFERROR(__xludf.DUMMYFUNCTION("""COMPUTED_VALUE"""),"06510019")</f>
        <v>06510019</v>
      </c>
      <c r="F30" s="90" t="str">
        <f ca="1">IFERROR(__xludf.DUMMYFUNCTION("""COMPUTED_VALUE"""),"TAISSY ASTT")</f>
        <v>TAISSY ASTT</v>
      </c>
      <c r="G30" s="91" t="str">
        <f ca="1">IFERROR(__xludf.DUMMYFUNCTION("""COMPUTED_VALUE"""),"CD51")</f>
        <v>CD51</v>
      </c>
      <c r="H30" s="92" t="str">
        <f ca="1">IFERROR(__xludf.DUMMYFUNCTION("""COMPUTED_VALUE"""),"FO AN/JA1")</f>
        <v>FO AN/JA1</v>
      </c>
      <c r="I30" s="91"/>
      <c r="J30" s="91" t="str">
        <f ca="1">IFERROR(__xludf.DUMMYFUNCTION("""COMPUTED_VALUE"""),"OUI")</f>
        <v>OUI</v>
      </c>
      <c r="K30" s="91" t="str">
        <f ca="1">IFERROR(__xludf.DUMMYFUNCTION("""COMPUTED_VALUE"""),"actif")</f>
        <v>actif</v>
      </c>
    </row>
    <row r="31" spans="1:11" ht="14.25">
      <c r="A31" s="85">
        <f ca="1">IFERROR(__xludf.DUMMYFUNCTION("""COMPUTED_VALUE"""),19)</f>
        <v>19</v>
      </c>
      <c r="B31" s="86" t="str">
        <f ca="1">IFERROR(__xludf.DUMMYFUNCTION("""COMPUTED_VALUE"""),"5424287")</f>
        <v>5424287</v>
      </c>
      <c r="C31" s="87" t="str">
        <f ca="1">IFERROR(__xludf.DUMMYFUNCTION("""COMPUTED_VALUE"""),"PINTO")</f>
        <v>PINTO</v>
      </c>
      <c r="D31" s="87" t="str">
        <f ca="1">IFERROR(__xludf.DUMMYFUNCTION("""COMPUTED_VALUE"""),"Antonio")</f>
        <v>Antonio</v>
      </c>
      <c r="E31" s="89" t="str">
        <f ca="1">IFERROR(__xludf.DUMMYFUNCTION("""COMPUTED_VALUE"""),"06550058")</f>
        <v>06550058</v>
      </c>
      <c r="F31" s="90" t="str">
        <f ca="1">IFERROR(__xludf.DUMMYFUNCTION("""COMPUTED_VALUE"""),"Les Loups de DAMVILLERS ASTT ")</f>
        <v xml:space="preserve">Les Loups de DAMVILLERS ASTT </v>
      </c>
      <c r="G31" s="91" t="str">
        <f ca="1">IFERROR(__xludf.DUMMYFUNCTION("""COMPUTED_VALUE"""),"CD55")</f>
        <v>CD55</v>
      </c>
      <c r="H31" s="92" t="str">
        <f ca="1">IFERROR(__xludf.DUMMYFUNCTION("""COMPUTED_VALUE"""),"FO AR/JA1")</f>
        <v>FO AR/JA1</v>
      </c>
      <c r="I31" s="91"/>
      <c r="J31" s="91" t="str">
        <f ca="1">IFERROR(__xludf.DUMMYFUNCTION("""COMPUTED_VALUE"""),"NON")</f>
        <v>NON</v>
      </c>
      <c r="K31" s="91" t="str">
        <f ca="1">IFERROR(__xludf.DUMMYFUNCTION("""COMPUTED_VALUE"""),"actif")</f>
        <v>actif</v>
      </c>
    </row>
    <row r="32" spans="1:11" ht="14.25">
      <c r="A32" s="85"/>
      <c r="B32" s="99"/>
      <c r="C32" s="101"/>
      <c r="D32" s="101"/>
      <c r="E32" s="100"/>
      <c r="F32" s="101"/>
      <c r="G32" s="98"/>
      <c r="H32" s="92"/>
      <c r="I32" s="91"/>
      <c r="J32" s="91"/>
      <c r="K32" s="91"/>
    </row>
    <row r="33" spans="1:11" ht="14.25">
      <c r="A33" s="85"/>
      <c r="B33" s="86"/>
      <c r="C33" s="87"/>
      <c r="D33" s="87"/>
      <c r="E33" s="89"/>
      <c r="F33" s="90"/>
      <c r="G33" s="91"/>
      <c r="H33" s="92"/>
      <c r="I33" s="91"/>
      <c r="J33" s="91"/>
      <c r="K33" s="91"/>
    </row>
    <row r="34" spans="1:11" ht="12.75">
      <c r="A34" s="36"/>
      <c r="B34" s="37"/>
      <c r="C34" s="54"/>
      <c r="D34" s="54"/>
      <c r="E34" s="57"/>
      <c r="F34" s="54"/>
      <c r="G34" s="38"/>
    </row>
    <row r="35" spans="1:11" ht="12.75">
      <c r="A35" s="36"/>
      <c r="B35" s="37"/>
      <c r="C35" s="54"/>
      <c r="D35" s="54"/>
      <c r="E35" s="57"/>
      <c r="F35" s="54"/>
      <c r="G35" s="38"/>
    </row>
  </sheetData>
  <mergeCells count="4">
    <mergeCell ref="G1:K2"/>
    <mergeCell ref="G3:K4"/>
    <mergeCell ref="A6:K6"/>
    <mergeCell ref="A8:K8"/>
  </mergeCells>
  <conditionalFormatting sqref="J1:J12 K1:K35 J34:J35">
    <cfRule type="cellIs" dxfId="0" priority="1" operator="equal">
      <formula>"inactif"</formula>
    </cfRule>
  </conditionalFormatting>
  <pageMargins left="0.7" right="0.7" top="0.75" bottom="0.75" header="0.3" footer="0.3"/>
  <drawing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sheetPr>
  <dimension ref="A1:O1004"/>
  <sheetViews>
    <sheetView workbookViewId="0">
      <pane ySplit="10" topLeftCell="A191" activePane="bottomLeft" state="frozen"/>
      <selection pane="bottomLeft" activeCell="A203" sqref="A203:O203"/>
    </sheetView>
  </sheetViews>
  <sheetFormatPr baseColWidth="10" defaultColWidth="12.5703125" defaultRowHeight="15.75" customHeight="1"/>
  <cols>
    <col min="1" max="1" width="7.85546875" customWidth="1"/>
    <col min="2" max="2" width="8.42578125" customWidth="1"/>
    <col min="3" max="3" width="32.42578125" customWidth="1"/>
    <col min="4" max="15" width="9.42578125" customWidth="1"/>
  </cols>
  <sheetData>
    <row r="1" spans="1:15" ht="12" customHeight="1">
      <c r="A1" s="103"/>
      <c r="B1" s="103"/>
      <c r="C1" s="103"/>
      <c r="D1" s="103"/>
      <c r="E1" s="103"/>
      <c r="F1" s="103"/>
      <c r="G1" s="103"/>
      <c r="H1" s="103"/>
      <c r="I1" s="127" t="s">
        <v>10</v>
      </c>
      <c r="J1" s="110"/>
      <c r="K1" s="110"/>
      <c r="L1" s="110"/>
      <c r="M1" s="110"/>
      <c r="N1" s="110"/>
      <c r="O1" s="110"/>
    </row>
    <row r="2" spans="1:15" ht="12" customHeight="1">
      <c r="A2" s="103"/>
      <c r="B2" s="103"/>
      <c r="C2" s="103"/>
      <c r="D2" s="103"/>
      <c r="E2" s="103"/>
      <c r="F2" s="103"/>
      <c r="G2" s="103"/>
      <c r="H2" s="103"/>
      <c r="I2" s="114"/>
      <c r="J2" s="114"/>
      <c r="K2" s="114"/>
      <c r="L2" s="114"/>
      <c r="M2" s="114"/>
      <c r="N2" s="114"/>
      <c r="O2" s="114"/>
    </row>
    <row r="3" spans="1:15" ht="12" customHeight="1">
      <c r="A3" s="103"/>
      <c r="B3" s="103"/>
      <c r="C3" s="103"/>
      <c r="D3" s="103"/>
      <c r="E3" s="103"/>
      <c r="F3" s="103"/>
      <c r="G3" s="103"/>
      <c r="H3" s="103"/>
      <c r="I3" s="127" t="s">
        <v>11</v>
      </c>
      <c r="J3" s="110"/>
      <c r="K3" s="110"/>
      <c r="L3" s="110"/>
      <c r="M3" s="110"/>
      <c r="N3" s="110"/>
      <c r="O3" s="110"/>
    </row>
    <row r="4" spans="1:15" ht="12" customHeight="1">
      <c r="A4" s="103"/>
      <c r="B4" s="103"/>
      <c r="C4" s="103"/>
      <c r="D4" s="103"/>
      <c r="E4" s="103"/>
      <c r="F4" s="103"/>
      <c r="G4" s="103"/>
      <c r="H4" s="103"/>
      <c r="I4" s="110"/>
      <c r="J4" s="110"/>
      <c r="K4" s="110"/>
      <c r="L4" s="110"/>
      <c r="M4" s="110"/>
      <c r="N4" s="110"/>
      <c r="O4" s="110"/>
    </row>
    <row r="5" spans="1:15" ht="28.5">
      <c r="A5" s="103"/>
      <c r="B5" s="103"/>
      <c r="C5" s="103"/>
      <c r="D5" s="103"/>
      <c r="E5" s="103"/>
      <c r="F5" s="103"/>
      <c r="G5" s="103"/>
      <c r="H5" s="103"/>
      <c r="I5" s="103"/>
      <c r="J5" s="103"/>
      <c r="K5" s="103"/>
      <c r="L5" s="103"/>
      <c r="M5" s="103"/>
      <c r="N5" s="103"/>
      <c r="O5" s="103"/>
    </row>
    <row r="6" spans="1:15" ht="12.75">
      <c r="A6" s="130" t="s">
        <v>121</v>
      </c>
      <c r="B6" s="131"/>
      <c r="C6" s="131"/>
      <c r="D6" s="131"/>
      <c r="E6" s="131"/>
      <c r="F6" s="131"/>
      <c r="G6" s="131"/>
      <c r="H6" s="131"/>
      <c r="I6" s="131"/>
      <c r="J6" s="131"/>
      <c r="K6" s="131"/>
      <c r="L6" s="131"/>
      <c r="M6" s="131"/>
      <c r="N6" s="131"/>
      <c r="O6" s="132"/>
    </row>
    <row r="7" spans="1:15" ht="12.75">
      <c r="A7" s="133"/>
      <c r="B7" s="134"/>
      <c r="C7" s="134"/>
      <c r="D7" s="134"/>
      <c r="E7" s="134"/>
      <c r="F7" s="134"/>
      <c r="G7" s="134"/>
      <c r="H7" s="134"/>
      <c r="I7" s="134"/>
      <c r="J7" s="134"/>
      <c r="K7" s="134"/>
      <c r="L7" s="134"/>
      <c r="M7" s="134"/>
      <c r="N7" s="134"/>
      <c r="O7" s="135"/>
    </row>
    <row r="8" spans="1:15" ht="12.75">
      <c r="A8" s="38"/>
      <c r="B8" s="57"/>
    </row>
    <row r="9" spans="1:15" ht="15">
      <c r="A9" s="38"/>
      <c r="B9" s="57"/>
      <c r="D9" s="104" t="s">
        <v>122</v>
      </c>
      <c r="E9" s="105" t="s">
        <v>123</v>
      </c>
      <c r="F9" s="105" t="s">
        <v>124</v>
      </c>
      <c r="G9" s="105" t="s">
        <v>125</v>
      </c>
      <c r="H9" s="105" t="s">
        <v>126</v>
      </c>
      <c r="I9" s="105" t="s">
        <v>127</v>
      </c>
      <c r="J9" s="105" t="s">
        <v>128</v>
      </c>
      <c r="K9" s="105" t="s">
        <v>129</v>
      </c>
      <c r="L9" s="105" t="s">
        <v>130</v>
      </c>
      <c r="M9" s="105" t="s">
        <v>131</v>
      </c>
      <c r="N9" s="105" t="s">
        <v>132</v>
      </c>
      <c r="O9" s="105" t="s">
        <v>133</v>
      </c>
    </row>
    <row r="10" spans="1:15" ht="12.75">
      <c r="A10" s="106" t="s">
        <v>86</v>
      </c>
      <c r="B10" s="107" t="s">
        <v>134</v>
      </c>
      <c r="C10" s="106" t="s">
        <v>85</v>
      </c>
      <c r="D10" s="108">
        <f t="shared" ref="D10:O10" ca="1" si="0">SUM(D11:D1003)</f>
        <v>330</v>
      </c>
      <c r="E10" s="108">
        <f t="shared" ca="1" si="0"/>
        <v>5</v>
      </c>
      <c r="F10" s="108">
        <f t="shared" ca="1" si="0"/>
        <v>634</v>
      </c>
      <c r="G10" s="108">
        <f t="shared" ca="1" si="0"/>
        <v>16</v>
      </c>
      <c r="H10" s="108">
        <f t="shared" ca="1" si="0"/>
        <v>6</v>
      </c>
      <c r="I10" s="108">
        <f t="shared" ca="1" si="0"/>
        <v>398</v>
      </c>
      <c r="J10" s="108">
        <f t="shared" ca="1" si="0"/>
        <v>74</v>
      </c>
      <c r="K10" s="108">
        <f t="shared" ca="1" si="0"/>
        <v>30</v>
      </c>
      <c r="L10" s="108">
        <f t="shared" ca="1" si="0"/>
        <v>2</v>
      </c>
      <c r="M10" s="108">
        <f t="shared" ca="1" si="0"/>
        <v>2</v>
      </c>
      <c r="N10" s="108">
        <f t="shared" ca="1" si="0"/>
        <v>19</v>
      </c>
      <c r="O10" s="108">
        <f t="shared" ca="1" si="0"/>
        <v>1516</v>
      </c>
    </row>
    <row r="11" spans="1:15" ht="12.75">
      <c r="A11" s="50" t="str">
        <f ca="1">IFERROR(__xludf.DUMMYFUNCTION("IMPORTRANGE(""1qeeFCJCFKucGS14M4JpkDHd4OgBncP16-nnB1TgVYa4"",""Récapitulatif!A12:N2000"")"),"CD08")</f>
        <v>CD08</v>
      </c>
      <c r="B11" s="77" t="str">
        <f ca="1">IFERROR(__xludf.DUMMYFUNCTION("""COMPUTED_VALUE"""),"06080003")</f>
        <v>06080003</v>
      </c>
      <c r="C11" s="48" t="str">
        <f ca="1">IFERROR(__xludf.DUMMYFUNCTION("""COMPUTED_VALUE"""),"US ROCROI TENNIS DE TABLE")</f>
        <v>US ROCROI TENNIS DE TABLE</v>
      </c>
      <c r="D11" s="46">
        <f ca="1">IFERROR(__xludf.DUMMYFUNCTION("""COMPUTED_VALUE"""),0)</f>
        <v>0</v>
      </c>
      <c r="E11" s="46">
        <f ca="1">IFERROR(__xludf.DUMMYFUNCTION("""COMPUTED_VALUE"""),0)</f>
        <v>0</v>
      </c>
      <c r="F11" s="46">
        <f ca="1">IFERROR(__xludf.DUMMYFUNCTION("""COMPUTED_VALUE"""),0)</f>
        <v>0</v>
      </c>
      <c r="G11" s="46">
        <f ca="1">IFERROR(__xludf.DUMMYFUNCTION("""COMPUTED_VALUE"""),0)</f>
        <v>0</v>
      </c>
      <c r="H11" s="46">
        <f ca="1">IFERROR(__xludf.DUMMYFUNCTION("""COMPUTED_VALUE"""),0)</f>
        <v>0</v>
      </c>
      <c r="I11" s="46">
        <f ca="1">IFERROR(__xludf.DUMMYFUNCTION("""COMPUTED_VALUE"""),0)</f>
        <v>0</v>
      </c>
      <c r="J11" s="46">
        <f ca="1">IFERROR(__xludf.DUMMYFUNCTION("""COMPUTED_VALUE"""),0)</f>
        <v>0</v>
      </c>
      <c r="K11" s="46">
        <f ca="1">IFERROR(__xludf.DUMMYFUNCTION("""COMPUTED_VALUE"""),0)</f>
        <v>0</v>
      </c>
      <c r="L11" s="46">
        <f ca="1">IFERROR(__xludf.DUMMYFUNCTION("""COMPUTED_VALUE"""),0)</f>
        <v>0</v>
      </c>
      <c r="M11" s="46">
        <f ca="1">IFERROR(__xludf.DUMMYFUNCTION("""COMPUTED_VALUE"""),0)</f>
        <v>0</v>
      </c>
      <c r="N11" s="46">
        <f ca="1">IFERROR(__xludf.DUMMYFUNCTION("""COMPUTED_VALUE"""),0)</f>
        <v>0</v>
      </c>
      <c r="O11" s="50">
        <f t="shared" ref="O11:O265" ca="1" si="1">SUM(D11:N11)</f>
        <v>0</v>
      </c>
    </row>
    <row r="12" spans="1:15" ht="12.75">
      <c r="A12" s="50" t="str">
        <f ca="1">IFERROR(__xludf.DUMMYFUNCTION("""COMPUTED_VALUE"""),"CD08")</f>
        <v>CD08</v>
      </c>
      <c r="B12" s="77" t="str">
        <f ca="1">IFERROR(__xludf.DUMMYFUNCTION("""COMPUTED_VALUE"""),"06080004")</f>
        <v>06080004</v>
      </c>
      <c r="C12" s="48" t="str">
        <f ca="1">IFERROR(__xludf.DUMMYFUNCTION("""COMPUTED_VALUE"""),"SEDAN TT")</f>
        <v>SEDAN TT</v>
      </c>
      <c r="D12" s="46">
        <f ca="1">IFERROR(__xludf.DUMMYFUNCTION("""COMPUTED_VALUE"""),0)</f>
        <v>0</v>
      </c>
      <c r="E12" s="46">
        <f ca="1">IFERROR(__xludf.DUMMYFUNCTION("""COMPUTED_VALUE"""),0)</f>
        <v>0</v>
      </c>
      <c r="F12" s="46">
        <f ca="1">IFERROR(__xludf.DUMMYFUNCTION("""COMPUTED_VALUE"""),1)</f>
        <v>1</v>
      </c>
      <c r="G12" s="46">
        <f ca="1">IFERROR(__xludf.DUMMYFUNCTION("""COMPUTED_VALUE"""),0)</f>
        <v>0</v>
      </c>
      <c r="H12" s="46">
        <f ca="1">IFERROR(__xludf.DUMMYFUNCTION("""COMPUTED_VALUE"""),0)</f>
        <v>0</v>
      </c>
      <c r="I12" s="46">
        <f ca="1">IFERROR(__xludf.DUMMYFUNCTION("""COMPUTED_VALUE"""),1)</f>
        <v>1</v>
      </c>
      <c r="J12" s="46">
        <f ca="1">IFERROR(__xludf.DUMMYFUNCTION("""COMPUTED_VALUE"""),0)</f>
        <v>0</v>
      </c>
      <c r="K12" s="46">
        <f ca="1">IFERROR(__xludf.DUMMYFUNCTION("""COMPUTED_VALUE"""),0)</f>
        <v>0</v>
      </c>
      <c r="L12" s="46">
        <f ca="1">IFERROR(__xludf.DUMMYFUNCTION("""COMPUTED_VALUE"""),0)</f>
        <v>0</v>
      </c>
      <c r="M12" s="46">
        <f ca="1">IFERROR(__xludf.DUMMYFUNCTION("""COMPUTED_VALUE"""),0)</f>
        <v>0</v>
      </c>
      <c r="N12" s="46">
        <f ca="1">IFERROR(__xludf.DUMMYFUNCTION("""COMPUTED_VALUE"""),0)</f>
        <v>0</v>
      </c>
      <c r="O12" s="50">
        <f t="shared" ca="1" si="1"/>
        <v>2</v>
      </c>
    </row>
    <row r="13" spans="1:15" ht="12.75">
      <c r="A13" s="50" t="str">
        <f ca="1">IFERROR(__xludf.DUMMYFUNCTION("""COMPUTED_VALUE"""),"CD08")</f>
        <v>CD08</v>
      </c>
      <c r="B13" s="77" t="str">
        <f ca="1">IFERROR(__xludf.DUMMYFUNCTION("""COMPUTED_VALUE"""),"06080005")</f>
        <v>06080005</v>
      </c>
      <c r="C13" s="48" t="str">
        <f ca="1">IFERROR(__xludf.DUMMYFUNCTION("""COMPUTED_VALUE"""),"GIVET CTT")</f>
        <v>GIVET CTT</v>
      </c>
      <c r="D13" s="46">
        <f ca="1">IFERROR(__xludf.DUMMYFUNCTION("""COMPUTED_VALUE"""),0)</f>
        <v>0</v>
      </c>
      <c r="E13" s="46">
        <f ca="1">IFERROR(__xludf.DUMMYFUNCTION("""COMPUTED_VALUE"""),0)</f>
        <v>0</v>
      </c>
      <c r="F13" s="46">
        <f ca="1">IFERROR(__xludf.DUMMYFUNCTION("""COMPUTED_VALUE"""),0)</f>
        <v>0</v>
      </c>
      <c r="G13" s="46">
        <f ca="1">IFERROR(__xludf.DUMMYFUNCTION("""COMPUTED_VALUE"""),0)</f>
        <v>0</v>
      </c>
      <c r="H13" s="46">
        <f ca="1">IFERROR(__xludf.DUMMYFUNCTION("""COMPUTED_VALUE"""),0)</f>
        <v>0</v>
      </c>
      <c r="I13" s="46">
        <f ca="1">IFERROR(__xludf.DUMMYFUNCTION("""COMPUTED_VALUE"""),0)</f>
        <v>0</v>
      </c>
      <c r="J13" s="46">
        <f ca="1">IFERROR(__xludf.DUMMYFUNCTION("""COMPUTED_VALUE"""),0)</f>
        <v>0</v>
      </c>
      <c r="K13" s="46">
        <f ca="1">IFERROR(__xludf.DUMMYFUNCTION("""COMPUTED_VALUE"""),0)</f>
        <v>0</v>
      </c>
      <c r="L13" s="46">
        <f ca="1">IFERROR(__xludf.DUMMYFUNCTION("""COMPUTED_VALUE"""),0)</f>
        <v>0</v>
      </c>
      <c r="M13" s="46">
        <f ca="1">IFERROR(__xludf.DUMMYFUNCTION("""COMPUTED_VALUE"""),0)</f>
        <v>0</v>
      </c>
      <c r="N13" s="46">
        <f ca="1">IFERROR(__xludf.DUMMYFUNCTION("""COMPUTED_VALUE"""),0)</f>
        <v>0</v>
      </c>
      <c r="O13" s="50">
        <f t="shared" ca="1" si="1"/>
        <v>0</v>
      </c>
    </row>
    <row r="14" spans="1:15" ht="12.75">
      <c r="A14" s="50" t="str">
        <f ca="1">IFERROR(__xludf.DUMMYFUNCTION("""COMPUTED_VALUE"""),"CD08")</f>
        <v>CD08</v>
      </c>
      <c r="B14" s="77" t="str">
        <f ca="1">IFERROR(__xludf.DUMMYFUNCTION("""COMPUTED_VALUE"""),"06080006")</f>
        <v>06080006</v>
      </c>
      <c r="C14" s="48" t="str">
        <f ca="1">IFERROR(__xludf.DUMMYFUNCTION("""COMPUTED_VALUE"""),"BAZEILLES PPC")</f>
        <v>BAZEILLES PPC</v>
      </c>
      <c r="D14" s="46">
        <f ca="1">IFERROR(__xludf.DUMMYFUNCTION("""COMPUTED_VALUE"""),1)</f>
        <v>1</v>
      </c>
      <c r="E14" s="46">
        <f ca="1">IFERROR(__xludf.DUMMYFUNCTION("""COMPUTED_VALUE"""),0)</f>
        <v>0</v>
      </c>
      <c r="F14" s="46">
        <f ca="1">IFERROR(__xludf.DUMMYFUNCTION("""COMPUTED_VALUE"""),7)</f>
        <v>7</v>
      </c>
      <c r="G14" s="46">
        <f ca="1">IFERROR(__xludf.DUMMYFUNCTION("""COMPUTED_VALUE"""),0)</f>
        <v>0</v>
      </c>
      <c r="H14" s="46">
        <f ca="1">IFERROR(__xludf.DUMMYFUNCTION("""COMPUTED_VALUE"""),0)</f>
        <v>0</v>
      </c>
      <c r="I14" s="46">
        <f ca="1">IFERROR(__xludf.DUMMYFUNCTION("""COMPUTED_VALUE"""),3)</f>
        <v>3</v>
      </c>
      <c r="J14" s="46">
        <f ca="1">IFERROR(__xludf.DUMMYFUNCTION("""COMPUTED_VALUE"""),3)</f>
        <v>3</v>
      </c>
      <c r="K14" s="46">
        <f ca="1">IFERROR(__xludf.DUMMYFUNCTION("""COMPUTED_VALUE"""),0)</f>
        <v>0</v>
      </c>
      <c r="L14" s="46">
        <f ca="1">IFERROR(__xludf.DUMMYFUNCTION("""COMPUTED_VALUE"""),0)</f>
        <v>0</v>
      </c>
      <c r="M14" s="46">
        <f ca="1">IFERROR(__xludf.DUMMYFUNCTION("""COMPUTED_VALUE"""),0)</f>
        <v>0</v>
      </c>
      <c r="N14" s="46">
        <f ca="1">IFERROR(__xludf.DUMMYFUNCTION("""COMPUTED_VALUE"""),0)</f>
        <v>0</v>
      </c>
      <c r="O14" s="50">
        <f t="shared" ca="1" si="1"/>
        <v>14</v>
      </c>
    </row>
    <row r="15" spans="1:15" ht="12.75">
      <c r="A15" s="50" t="str">
        <f ca="1">IFERROR(__xludf.DUMMYFUNCTION("""COMPUTED_VALUE"""),"CD08")</f>
        <v>CD08</v>
      </c>
      <c r="B15" s="77" t="str">
        <f ca="1">IFERROR(__xludf.DUMMYFUNCTION("""COMPUTED_VALUE"""),"06080013")</f>
        <v>06080013</v>
      </c>
      <c r="C15" s="48" t="str">
        <f ca="1">IFERROR(__xludf.DUMMYFUNCTION("""COMPUTED_VALUE"""),"TAGNON PPC")</f>
        <v>TAGNON PPC</v>
      </c>
      <c r="D15" s="46">
        <f ca="1">IFERROR(__xludf.DUMMYFUNCTION("""COMPUTED_VALUE"""),4)</f>
        <v>4</v>
      </c>
      <c r="E15" s="46">
        <f ca="1">IFERROR(__xludf.DUMMYFUNCTION("""COMPUTED_VALUE"""),0)</f>
        <v>0</v>
      </c>
      <c r="F15" s="46">
        <f ca="1">IFERROR(__xludf.DUMMYFUNCTION("""COMPUTED_VALUE"""),5)</f>
        <v>5</v>
      </c>
      <c r="G15" s="46">
        <f ca="1">IFERROR(__xludf.DUMMYFUNCTION("""COMPUTED_VALUE"""),0)</f>
        <v>0</v>
      </c>
      <c r="H15" s="46">
        <f ca="1">IFERROR(__xludf.DUMMYFUNCTION("""COMPUTED_VALUE"""),0)</f>
        <v>0</v>
      </c>
      <c r="I15" s="46">
        <f ca="1">IFERROR(__xludf.DUMMYFUNCTION("""COMPUTED_VALUE"""),5)</f>
        <v>5</v>
      </c>
      <c r="J15" s="46">
        <f ca="1">IFERROR(__xludf.DUMMYFUNCTION("""COMPUTED_VALUE"""),0)</f>
        <v>0</v>
      </c>
      <c r="K15" s="46">
        <f ca="1">IFERROR(__xludf.DUMMYFUNCTION("""COMPUTED_VALUE"""),0)</f>
        <v>0</v>
      </c>
      <c r="L15" s="46">
        <f ca="1">IFERROR(__xludf.DUMMYFUNCTION("""COMPUTED_VALUE"""),0)</f>
        <v>0</v>
      </c>
      <c r="M15" s="46">
        <f ca="1">IFERROR(__xludf.DUMMYFUNCTION("""COMPUTED_VALUE"""),0)</f>
        <v>0</v>
      </c>
      <c r="N15" s="46">
        <f ca="1">IFERROR(__xludf.DUMMYFUNCTION("""COMPUTED_VALUE"""),0)</f>
        <v>0</v>
      </c>
      <c r="O15" s="50">
        <f t="shared" ca="1" si="1"/>
        <v>14</v>
      </c>
    </row>
    <row r="16" spans="1:15" ht="12.75">
      <c r="A16" s="50" t="str">
        <f ca="1">IFERROR(__xludf.DUMMYFUNCTION("""COMPUTED_VALUE"""),"CD08")</f>
        <v>CD08</v>
      </c>
      <c r="B16" s="77" t="str">
        <f ca="1">IFERROR(__xludf.DUMMYFUNCTION("""COMPUTED_VALUE"""),"06080014")</f>
        <v>06080014</v>
      </c>
      <c r="C16" s="48" t="str">
        <f ca="1">IFERROR(__xludf.DUMMYFUNCTION("""COMPUTED_VALUE"""),"REVIN - HAYBOISE TT")</f>
        <v>REVIN - HAYBOISE TT</v>
      </c>
      <c r="D16" s="46">
        <f ca="1">IFERROR(__xludf.DUMMYFUNCTION("""COMPUTED_VALUE"""),4)</f>
        <v>4</v>
      </c>
      <c r="E16" s="46">
        <f ca="1">IFERROR(__xludf.DUMMYFUNCTION("""COMPUTED_VALUE"""),0)</f>
        <v>0</v>
      </c>
      <c r="F16" s="46">
        <f ca="1">IFERROR(__xludf.DUMMYFUNCTION("""COMPUTED_VALUE"""),1)</f>
        <v>1</v>
      </c>
      <c r="G16" s="46">
        <f ca="1">IFERROR(__xludf.DUMMYFUNCTION("""COMPUTED_VALUE"""),0)</f>
        <v>0</v>
      </c>
      <c r="H16" s="46">
        <f ca="1">IFERROR(__xludf.DUMMYFUNCTION("""COMPUTED_VALUE"""),0)</f>
        <v>0</v>
      </c>
      <c r="I16" s="46">
        <f ca="1">IFERROR(__xludf.DUMMYFUNCTION("""COMPUTED_VALUE"""),1)</f>
        <v>1</v>
      </c>
      <c r="J16" s="46">
        <f ca="1">IFERROR(__xludf.DUMMYFUNCTION("""COMPUTED_VALUE"""),0)</f>
        <v>0</v>
      </c>
      <c r="K16" s="46">
        <f ca="1">IFERROR(__xludf.DUMMYFUNCTION("""COMPUTED_VALUE"""),0)</f>
        <v>0</v>
      </c>
      <c r="L16" s="46">
        <f ca="1">IFERROR(__xludf.DUMMYFUNCTION("""COMPUTED_VALUE"""),0)</f>
        <v>0</v>
      </c>
      <c r="M16" s="46">
        <f ca="1">IFERROR(__xludf.DUMMYFUNCTION("""COMPUTED_VALUE"""),0)</f>
        <v>0</v>
      </c>
      <c r="N16" s="46">
        <f ca="1">IFERROR(__xludf.DUMMYFUNCTION("""COMPUTED_VALUE"""),0)</f>
        <v>0</v>
      </c>
      <c r="O16" s="50">
        <f t="shared" ca="1" si="1"/>
        <v>6</v>
      </c>
    </row>
    <row r="17" spans="1:15" ht="12.75">
      <c r="A17" s="50" t="str">
        <f ca="1">IFERROR(__xludf.DUMMYFUNCTION("""COMPUTED_VALUE"""),"CD08")</f>
        <v>CD08</v>
      </c>
      <c r="B17" s="77" t="str">
        <f ca="1">IFERROR(__xludf.DUMMYFUNCTION("""COMPUTED_VALUE"""),"06080015")</f>
        <v>06080015</v>
      </c>
      <c r="C17" s="48" t="str">
        <f ca="1">IFERROR(__xludf.DUMMYFUNCTION("""COMPUTED_VALUE"""),"CLIRON PPC")</f>
        <v>CLIRON PPC</v>
      </c>
      <c r="D17" s="46">
        <f ca="1">IFERROR(__xludf.DUMMYFUNCTION("""COMPUTED_VALUE"""),0)</f>
        <v>0</v>
      </c>
      <c r="E17" s="46">
        <f ca="1">IFERROR(__xludf.DUMMYFUNCTION("""COMPUTED_VALUE"""),0)</f>
        <v>0</v>
      </c>
      <c r="F17" s="46">
        <f ca="1">IFERROR(__xludf.DUMMYFUNCTION("""COMPUTED_VALUE"""),0)</f>
        <v>0</v>
      </c>
      <c r="G17" s="46">
        <f ca="1">IFERROR(__xludf.DUMMYFUNCTION("""COMPUTED_VALUE"""),0)</f>
        <v>0</v>
      </c>
      <c r="H17" s="46">
        <f ca="1">IFERROR(__xludf.DUMMYFUNCTION("""COMPUTED_VALUE"""),0)</f>
        <v>0</v>
      </c>
      <c r="I17" s="46">
        <f ca="1">IFERROR(__xludf.DUMMYFUNCTION("""COMPUTED_VALUE"""),0)</f>
        <v>0</v>
      </c>
      <c r="J17" s="46">
        <f ca="1">IFERROR(__xludf.DUMMYFUNCTION("""COMPUTED_VALUE"""),0)</f>
        <v>0</v>
      </c>
      <c r="K17" s="46">
        <f ca="1">IFERROR(__xludf.DUMMYFUNCTION("""COMPUTED_VALUE"""),0)</f>
        <v>0</v>
      </c>
      <c r="L17" s="46">
        <f ca="1">IFERROR(__xludf.DUMMYFUNCTION("""COMPUTED_VALUE"""),0)</f>
        <v>0</v>
      </c>
      <c r="M17" s="46">
        <f ca="1">IFERROR(__xludf.DUMMYFUNCTION("""COMPUTED_VALUE"""),0)</f>
        <v>0</v>
      </c>
      <c r="N17" s="46">
        <f ca="1">IFERROR(__xludf.DUMMYFUNCTION("""COMPUTED_VALUE"""),0)</f>
        <v>0</v>
      </c>
      <c r="O17" s="50">
        <f t="shared" ca="1" si="1"/>
        <v>0</v>
      </c>
    </row>
    <row r="18" spans="1:15" ht="12.75">
      <c r="A18" s="50" t="str">
        <f ca="1">IFERROR(__xludf.DUMMYFUNCTION("""COMPUTED_VALUE"""),"CD08")</f>
        <v>CD08</v>
      </c>
      <c r="B18" s="77" t="str">
        <f ca="1">IFERROR(__xludf.DUMMYFUNCTION("""COMPUTED_VALUE"""),"06080017")</f>
        <v>06080017</v>
      </c>
      <c r="C18" s="48" t="str">
        <f ca="1">IFERROR(__xludf.DUMMYFUNCTION("""COMPUTED_VALUE"""),"HARCY FPT")</f>
        <v>HARCY FPT</v>
      </c>
      <c r="D18" s="46">
        <f ca="1">IFERROR(__xludf.DUMMYFUNCTION("""COMPUTED_VALUE"""),0)</f>
        <v>0</v>
      </c>
      <c r="E18" s="46">
        <f ca="1">IFERROR(__xludf.DUMMYFUNCTION("""COMPUTED_VALUE"""),0)</f>
        <v>0</v>
      </c>
      <c r="F18" s="46">
        <f ca="1">IFERROR(__xludf.DUMMYFUNCTION("""COMPUTED_VALUE"""),0)</f>
        <v>0</v>
      </c>
      <c r="G18" s="46">
        <f ca="1">IFERROR(__xludf.DUMMYFUNCTION("""COMPUTED_VALUE"""),0)</f>
        <v>0</v>
      </c>
      <c r="H18" s="46">
        <f ca="1">IFERROR(__xludf.DUMMYFUNCTION("""COMPUTED_VALUE"""),0)</f>
        <v>0</v>
      </c>
      <c r="I18" s="46">
        <f ca="1">IFERROR(__xludf.DUMMYFUNCTION("""COMPUTED_VALUE"""),0)</f>
        <v>0</v>
      </c>
      <c r="J18" s="46">
        <f ca="1">IFERROR(__xludf.DUMMYFUNCTION("""COMPUTED_VALUE"""),0)</f>
        <v>0</v>
      </c>
      <c r="K18" s="46">
        <f ca="1">IFERROR(__xludf.DUMMYFUNCTION("""COMPUTED_VALUE"""),0)</f>
        <v>0</v>
      </c>
      <c r="L18" s="46">
        <f ca="1">IFERROR(__xludf.DUMMYFUNCTION("""COMPUTED_VALUE"""),0)</f>
        <v>0</v>
      </c>
      <c r="M18" s="46">
        <f ca="1">IFERROR(__xludf.DUMMYFUNCTION("""COMPUTED_VALUE"""),0)</f>
        <v>0</v>
      </c>
      <c r="N18" s="46">
        <f ca="1">IFERROR(__xludf.DUMMYFUNCTION("""COMPUTED_VALUE"""),0)</f>
        <v>0</v>
      </c>
      <c r="O18" s="50">
        <f t="shared" ca="1" si="1"/>
        <v>0</v>
      </c>
    </row>
    <row r="19" spans="1:15" ht="12.75">
      <c r="A19" s="50" t="str">
        <f ca="1">IFERROR(__xludf.DUMMYFUNCTION("""COMPUTED_VALUE"""),"CD08")</f>
        <v>CD08</v>
      </c>
      <c r="B19" s="77" t="str">
        <f ca="1">IFERROR(__xludf.DUMMYFUNCTION("""COMPUTED_VALUE"""),"06080024")</f>
        <v>06080024</v>
      </c>
      <c r="C19" s="48" t="str">
        <f ca="1">IFERROR(__xludf.DUMMYFUNCTION("""COMPUTED_VALUE"""),"FLOING PPC")</f>
        <v>FLOING PPC</v>
      </c>
      <c r="D19" s="46">
        <f ca="1">IFERROR(__xludf.DUMMYFUNCTION("""COMPUTED_VALUE"""),0)</f>
        <v>0</v>
      </c>
      <c r="E19" s="46">
        <f ca="1">IFERROR(__xludf.DUMMYFUNCTION("""COMPUTED_VALUE"""),0)</f>
        <v>0</v>
      </c>
      <c r="F19" s="46">
        <f ca="1">IFERROR(__xludf.DUMMYFUNCTION("""COMPUTED_VALUE"""),2)</f>
        <v>2</v>
      </c>
      <c r="G19" s="46">
        <f ca="1">IFERROR(__xludf.DUMMYFUNCTION("""COMPUTED_VALUE"""),0)</f>
        <v>0</v>
      </c>
      <c r="H19" s="46">
        <f ca="1">IFERROR(__xludf.DUMMYFUNCTION("""COMPUTED_VALUE"""),0)</f>
        <v>0</v>
      </c>
      <c r="I19" s="46">
        <f ca="1">IFERROR(__xludf.DUMMYFUNCTION("""COMPUTED_VALUE"""),2)</f>
        <v>2</v>
      </c>
      <c r="J19" s="46">
        <f ca="1">IFERROR(__xludf.DUMMYFUNCTION("""COMPUTED_VALUE"""),0)</f>
        <v>0</v>
      </c>
      <c r="K19" s="46">
        <f ca="1">IFERROR(__xludf.DUMMYFUNCTION("""COMPUTED_VALUE"""),0)</f>
        <v>0</v>
      </c>
      <c r="L19" s="46">
        <f ca="1">IFERROR(__xludf.DUMMYFUNCTION("""COMPUTED_VALUE"""),0)</f>
        <v>0</v>
      </c>
      <c r="M19" s="46">
        <f ca="1">IFERROR(__xludf.DUMMYFUNCTION("""COMPUTED_VALUE"""),0)</f>
        <v>0</v>
      </c>
      <c r="N19" s="46">
        <f ca="1">IFERROR(__xludf.DUMMYFUNCTION("""COMPUTED_VALUE"""),0)</f>
        <v>0</v>
      </c>
      <c r="O19" s="50">
        <f t="shared" ca="1" si="1"/>
        <v>4</v>
      </c>
    </row>
    <row r="20" spans="1:15" ht="12.75">
      <c r="A20" s="50" t="str">
        <f ca="1">IFERROR(__xludf.DUMMYFUNCTION("""COMPUTED_VALUE"""),"CD08")</f>
        <v>CD08</v>
      </c>
      <c r="B20" s="77" t="str">
        <f ca="1">IFERROR(__xludf.DUMMYFUNCTION("""COMPUTED_VALUE"""),"06080029")</f>
        <v>06080029</v>
      </c>
      <c r="C20" s="48" t="str">
        <f ca="1">IFERROR(__xludf.DUMMYFUNCTION("""COMPUTED_VALUE"""),"AUVILLERS-ETEIGNIERES TT")</f>
        <v>AUVILLERS-ETEIGNIERES TT</v>
      </c>
      <c r="D20" s="46">
        <f ca="1">IFERROR(__xludf.DUMMYFUNCTION("""COMPUTED_VALUE"""),0)</f>
        <v>0</v>
      </c>
      <c r="E20" s="46">
        <f ca="1">IFERROR(__xludf.DUMMYFUNCTION("""COMPUTED_VALUE"""),0)</f>
        <v>0</v>
      </c>
      <c r="F20" s="46">
        <f ca="1">IFERROR(__xludf.DUMMYFUNCTION("""COMPUTED_VALUE"""),0)</f>
        <v>0</v>
      </c>
      <c r="G20" s="46">
        <f ca="1">IFERROR(__xludf.DUMMYFUNCTION("""COMPUTED_VALUE"""),0)</f>
        <v>0</v>
      </c>
      <c r="H20" s="46">
        <f ca="1">IFERROR(__xludf.DUMMYFUNCTION("""COMPUTED_VALUE"""),0)</f>
        <v>0</v>
      </c>
      <c r="I20" s="46">
        <f ca="1">IFERROR(__xludf.DUMMYFUNCTION("""COMPUTED_VALUE"""),0)</f>
        <v>0</v>
      </c>
      <c r="J20" s="46">
        <f ca="1">IFERROR(__xludf.DUMMYFUNCTION("""COMPUTED_VALUE"""),0)</f>
        <v>0</v>
      </c>
      <c r="K20" s="46">
        <f ca="1">IFERROR(__xludf.DUMMYFUNCTION("""COMPUTED_VALUE"""),0)</f>
        <v>0</v>
      </c>
      <c r="L20" s="46">
        <f ca="1">IFERROR(__xludf.DUMMYFUNCTION("""COMPUTED_VALUE"""),0)</f>
        <v>0</v>
      </c>
      <c r="M20" s="46">
        <f ca="1">IFERROR(__xludf.DUMMYFUNCTION("""COMPUTED_VALUE"""),0)</f>
        <v>0</v>
      </c>
      <c r="N20" s="46">
        <f ca="1">IFERROR(__xludf.DUMMYFUNCTION("""COMPUTED_VALUE"""),0)</f>
        <v>0</v>
      </c>
      <c r="O20" s="50">
        <f t="shared" ca="1" si="1"/>
        <v>0</v>
      </c>
    </row>
    <row r="21" spans="1:15" ht="12.75">
      <c r="A21" s="50" t="str">
        <f ca="1">IFERROR(__xludf.DUMMYFUNCTION("""COMPUTED_VALUE"""),"CD08")</f>
        <v>CD08</v>
      </c>
      <c r="B21" s="77" t="str">
        <f ca="1">IFERROR(__xludf.DUMMYFUNCTION("""COMPUTED_VALUE"""),"06080035")</f>
        <v>06080035</v>
      </c>
      <c r="C21" s="48" t="str">
        <f ca="1">IFERROR(__xludf.DUMMYFUNCTION("""COMPUTED_VALUE"""),"CHARLEVILLE MEZIERES ARDENNES TT")</f>
        <v>CHARLEVILLE MEZIERES ARDENNES TT</v>
      </c>
      <c r="D21" s="46">
        <f ca="1">IFERROR(__xludf.DUMMYFUNCTION("""COMPUTED_VALUE"""),7)</f>
        <v>7</v>
      </c>
      <c r="E21" s="46">
        <f ca="1">IFERROR(__xludf.DUMMYFUNCTION("""COMPUTED_VALUE"""),0)</f>
        <v>0</v>
      </c>
      <c r="F21" s="46">
        <f ca="1">IFERROR(__xludf.DUMMYFUNCTION("""COMPUTED_VALUE"""),18)</f>
        <v>18</v>
      </c>
      <c r="G21" s="46">
        <f ca="1">IFERROR(__xludf.DUMMYFUNCTION("""COMPUTED_VALUE"""),0)</f>
        <v>0</v>
      </c>
      <c r="H21" s="46">
        <f ca="1">IFERROR(__xludf.DUMMYFUNCTION("""COMPUTED_VALUE"""),0)</f>
        <v>0</v>
      </c>
      <c r="I21" s="46">
        <f ca="1">IFERROR(__xludf.DUMMYFUNCTION("""COMPUTED_VALUE"""),5)</f>
        <v>5</v>
      </c>
      <c r="J21" s="46">
        <f ca="1">IFERROR(__xludf.DUMMYFUNCTION("""COMPUTED_VALUE"""),1)</f>
        <v>1</v>
      </c>
      <c r="K21" s="46">
        <f ca="1">IFERROR(__xludf.DUMMYFUNCTION("""COMPUTED_VALUE"""),0)</f>
        <v>0</v>
      </c>
      <c r="L21" s="46">
        <f ca="1">IFERROR(__xludf.DUMMYFUNCTION("""COMPUTED_VALUE"""),0)</f>
        <v>0</v>
      </c>
      <c r="M21" s="46">
        <f ca="1">IFERROR(__xludf.DUMMYFUNCTION("""COMPUTED_VALUE"""),0)</f>
        <v>0</v>
      </c>
      <c r="N21" s="46">
        <f ca="1">IFERROR(__xludf.DUMMYFUNCTION("""COMPUTED_VALUE"""),0)</f>
        <v>0</v>
      </c>
      <c r="O21" s="50">
        <f t="shared" ca="1" si="1"/>
        <v>31</v>
      </c>
    </row>
    <row r="22" spans="1:15" ht="12.75">
      <c r="A22" s="50" t="str">
        <f ca="1">IFERROR(__xludf.DUMMYFUNCTION("""COMPUTED_VALUE"""),"CD08")</f>
        <v>CD08</v>
      </c>
      <c r="B22" s="77" t="str">
        <f ca="1">IFERROR(__xludf.DUMMYFUNCTION("""COMPUTED_VALUE"""),"06080043")</f>
        <v>06080043</v>
      </c>
      <c r="C22" s="48" t="str">
        <f ca="1">IFERROR(__xludf.DUMMYFUNCTION("""COMPUTED_VALUE"""),"ETREPIGNY TT")</f>
        <v>ETREPIGNY TT</v>
      </c>
      <c r="D22" s="46">
        <f ca="1">IFERROR(__xludf.DUMMYFUNCTION("""COMPUTED_VALUE"""),1)</f>
        <v>1</v>
      </c>
      <c r="E22" s="46">
        <f ca="1">IFERROR(__xludf.DUMMYFUNCTION("""COMPUTED_VALUE"""),0)</f>
        <v>0</v>
      </c>
      <c r="F22" s="46">
        <f ca="1">IFERROR(__xludf.DUMMYFUNCTION("""COMPUTED_VALUE"""),5)</f>
        <v>5</v>
      </c>
      <c r="G22" s="46">
        <f ca="1">IFERROR(__xludf.DUMMYFUNCTION("""COMPUTED_VALUE"""),0)</f>
        <v>0</v>
      </c>
      <c r="H22" s="46">
        <f ca="1">IFERROR(__xludf.DUMMYFUNCTION("""COMPUTED_VALUE"""),0)</f>
        <v>0</v>
      </c>
      <c r="I22" s="46">
        <f ca="1">IFERROR(__xludf.DUMMYFUNCTION("""COMPUTED_VALUE"""),3)</f>
        <v>3</v>
      </c>
      <c r="J22" s="46">
        <f ca="1">IFERROR(__xludf.DUMMYFUNCTION("""COMPUTED_VALUE"""),0)</f>
        <v>0</v>
      </c>
      <c r="K22" s="46">
        <f ca="1">IFERROR(__xludf.DUMMYFUNCTION("""COMPUTED_VALUE"""),0)</f>
        <v>0</v>
      </c>
      <c r="L22" s="46">
        <f ca="1">IFERROR(__xludf.DUMMYFUNCTION("""COMPUTED_VALUE"""),0)</f>
        <v>0</v>
      </c>
      <c r="M22" s="46">
        <f ca="1">IFERROR(__xludf.DUMMYFUNCTION("""COMPUTED_VALUE"""),0)</f>
        <v>0</v>
      </c>
      <c r="N22" s="46">
        <f ca="1">IFERROR(__xludf.DUMMYFUNCTION("""COMPUTED_VALUE"""),0)</f>
        <v>0</v>
      </c>
      <c r="O22" s="50">
        <f t="shared" ca="1" si="1"/>
        <v>9</v>
      </c>
    </row>
    <row r="23" spans="1:15" ht="12.75">
      <c r="A23" s="50" t="str">
        <f ca="1">IFERROR(__xludf.DUMMYFUNCTION("""COMPUTED_VALUE"""),"CD08")</f>
        <v>CD08</v>
      </c>
      <c r="B23" s="77" t="str">
        <f ca="1">IFERROR(__xludf.DUMMYFUNCTION("""COMPUTED_VALUE"""),"06080044")</f>
        <v>06080044</v>
      </c>
      <c r="C23" s="48" t="str">
        <f ca="1">IFERROR(__xludf.DUMMYFUNCTION("""COMPUTED_VALUE"""),"CTT VOUZIERS ")</f>
        <v xml:space="preserve">CTT VOUZIERS </v>
      </c>
      <c r="D23" s="46">
        <f ca="1">IFERROR(__xludf.DUMMYFUNCTION("""COMPUTED_VALUE"""),0)</f>
        <v>0</v>
      </c>
      <c r="E23" s="46">
        <f ca="1">IFERROR(__xludf.DUMMYFUNCTION("""COMPUTED_VALUE"""),0)</f>
        <v>0</v>
      </c>
      <c r="F23" s="46">
        <f ca="1">IFERROR(__xludf.DUMMYFUNCTION("""COMPUTED_VALUE"""),1)</f>
        <v>1</v>
      </c>
      <c r="G23" s="46">
        <f ca="1">IFERROR(__xludf.DUMMYFUNCTION("""COMPUTED_VALUE"""),0)</f>
        <v>0</v>
      </c>
      <c r="H23" s="46">
        <f ca="1">IFERROR(__xludf.DUMMYFUNCTION("""COMPUTED_VALUE"""),0)</f>
        <v>0</v>
      </c>
      <c r="I23" s="46">
        <f ca="1">IFERROR(__xludf.DUMMYFUNCTION("""COMPUTED_VALUE"""),0)</f>
        <v>0</v>
      </c>
      <c r="J23" s="46">
        <f ca="1">IFERROR(__xludf.DUMMYFUNCTION("""COMPUTED_VALUE"""),0)</f>
        <v>0</v>
      </c>
      <c r="K23" s="46">
        <f ca="1">IFERROR(__xludf.DUMMYFUNCTION("""COMPUTED_VALUE"""),0)</f>
        <v>0</v>
      </c>
      <c r="L23" s="46">
        <f ca="1">IFERROR(__xludf.DUMMYFUNCTION("""COMPUTED_VALUE"""),0)</f>
        <v>0</v>
      </c>
      <c r="M23" s="46">
        <f ca="1">IFERROR(__xludf.DUMMYFUNCTION("""COMPUTED_VALUE"""),0)</f>
        <v>0</v>
      </c>
      <c r="N23" s="46">
        <f ca="1">IFERROR(__xludf.DUMMYFUNCTION("""COMPUTED_VALUE"""),0)</f>
        <v>0</v>
      </c>
      <c r="O23" s="50">
        <f t="shared" ca="1" si="1"/>
        <v>1</v>
      </c>
    </row>
    <row r="24" spans="1:15" ht="12.75">
      <c r="A24" s="50" t="str">
        <f ca="1">IFERROR(__xludf.DUMMYFUNCTION("""COMPUTED_VALUE"""),"CD08")</f>
        <v>CD08</v>
      </c>
      <c r="B24" s="77" t="str">
        <f ca="1">IFERROR(__xludf.DUMMYFUNCTION("""COMPUTED_VALUE"""),"06080045")</f>
        <v>06080045</v>
      </c>
      <c r="C24" s="48" t="str">
        <f ca="1">IFERROR(__xludf.DUMMYFUNCTION("""COMPUTED_VALUE"""),"LES MAZURES TT")</f>
        <v>LES MAZURES TT</v>
      </c>
      <c r="D24" s="46">
        <f ca="1">IFERROR(__xludf.DUMMYFUNCTION("""COMPUTED_VALUE"""),0)</f>
        <v>0</v>
      </c>
      <c r="E24" s="46">
        <f ca="1">IFERROR(__xludf.DUMMYFUNCTION("""COMPUTED_VALUE"""),0)</f>
        <v>0</v>
      </c>
      <c r="F24" s="46">
        <f ca="1">IFERROR(__xludf.DUMMYFUNCTION("""COMPUTED_VALUE"""),0)</f>
        <v>0</v>
      </c>
      <c r="G24" s="46">
        <f ca="1">IFERROR(__xludf.DUMMYFUNCTION("""COMPUTED_VALUE"""),0)</f>
        <v>0</v>
      </c>
      <c r="H24" s="46">
        <f ca="1">IFERROR(__xludf.DUMMYFUNCTION("""COMPUTED_VALUE"""),0)</f>
        <v>0</v>
      </c>
      <c r="I24" s="46">
        <f ca="1">IFERROR(__xludf.DUMMYFUNCTION("""COMPUTED_VALUE"""),0)</f>
        <v>0</v>
      </c>
      <c r="J24" s="46">
        <f ca="1">IFERROR(__xludf.DUMMYFUNCTION("""COMPUTED_VALUE"""),0)</f>
        <v>0</v>
      </c>
      <c r="K24" s="46">
        <f ca="1">IFERROR(__xludf.DUMMYFUNCTION("""COMPUTED_VALUE"""),0)</f>
        <v>0</v>
      </c>
      <c r="L24" s="46">
        <f ca="1">IFERROR(__xludf.DUMMYFUNCTION("""COMPUTED_VALUE"""),0)</f>
        <v>0</v>
      </c>
      <c r="M24" s="46">
        <f ca="1">IFERROR(__xludf.DUMMYFUNCTION("""COMPUTED_VALUE"""),0)</f>
        <v>0</v>
      </c>
      <c r="N24" s="46">
        <f ca="1">IFERROR(__xludf.DUMMYFUNCTION("""COMPUTED_VALUE"""),0)</f>
        <v>0</v>
      </c>
      <c r="O24" s="50">
        <f t="shared" ca="1" si="1"/>
        <v>0</v>
      </c>
    </row>
    <row r="25" spans="1:15" ht="12.75">
      <c r="A25" s="50" t="str">
        <f ca="1">IFERROR(__xludf.DUMMYFUNCTION("""COMPUTED_VALUE"""),"CD08")</f>
        <v>CD08</v>
      </c>
      <c r="B25" s="77" t="str">
        <f ca="1">IFERROR(__xludf.DUMMYFUNCTION("""COMPUTED_VALUE"""),"06080047")</f>
        <v>06080047</v>
      </c>
      <c r="C25" s="48" t="str">
        <f ca="1">IFERROR(__xludf.DUMMYFUNCTION("""COMPUTED_VALUE"""),"MONTCY NOTRE DAME PPC")</f>
        <v>MONTCY NOTRE DAME PPC</v>
      </c>
      <c r="D25" s="46">
        <f ca="1">IFERROR(__xludf.DUMMYFUNCTION("""COMPUTED_VALUE"""),0)</f>
        <v>0</v>
      </c>
      <c r="E25" s="46">
        <f ca="1">IFERROR(__xludf.DUMMYFUNCTION("""COMPUTED_VALUE"""),0)</f>
        <v>0</v>
      </c>
      <c r="F25" s="46">
        <f ca="1">IFERROR(__xludf.DUMMYFUNCTION("""COMPUTED_VALUE"""),3)</f>
        <v>3</v>
      </c>
      <c r="G25" s="46">
        <f ca="1">IFERROR(__xludf.DUMMYFUNCTION("""COMPUTED_VALUE"""),0)</f>
        <v>0</v>
      </c>
      <c r="H25" s="46">
        <f ca="1">IFERROR(__xludf.DUMMYFUNCTION("""COMPUTED_VALUE"""),0)</f>
        <v>0</v>
      </c>
      <c r="I25" s="46">
        <f ca="1">IFERROR(__xludf.DUMMYFUNCTION("""COMPUTED_VALUE"""),3)</f>
        <v>3</v>
      </c>
      <c r="J25" s="46">
        <f ca="1">IFERROR(__xludf.DUMMYFUNCTION("""COMPUTED_VALUE"""),0)</f>
        <v>0</v>
      </c>
      <c r="K25" s="46">
        <f ca="1">IFERROR(__xludf.DUMMYFUNCTION("""COMPUTED_VALUE"""),0)</f>
        <v>0</v>
      </c>
      <c r="L25" s="46">
        <f ca="1">IFERROR(__xludf.DUMMYFUNCTION("""COMPUTED_VALUE"""),0)</f>
        <v>0</v>
      </c>
      <c r="M25" s="46">
        <f ca="1">IFERROR(__xludf.DUMMYFUNCTION("""COMPUTED_VALUE"""),0)</f>
        <v>0</v>
      </c>
      <c r="N25" s="46">
        <f ca="1">IFERROR(__xludf.DUMMYFUNCTION("""COMPUTED_VALUE"""),0)</f>
        <v>0</v>
      </c>
      <c r="O25" s="50">
        <f t="shared" ca="1" si="1"/>
        <v>6</v>
      </c>
    </row>
    <row r="26" spans="1:15" ht="12.75">
      <c r="A26" s="50" t="str">
        <f ca="1">IFERROR(__xludf.DUMMYFUNCTION("""COMPUTED_VALUE"""),"CD08")</f>
        <v>CD08</v>
      </c>
      <c r="B26" s="77" t="str">
        <f ca="1">IFERROR(__xludf.DUMMYFUNCTION("""COMPUTED_VALUE"""),"06080050")</f>
        <v>06080050</v>
      </c>
      <c r="C26" s="48" t="str">
        <f ca="1">IFERROR(__xludf.DUMMYFUNCTION("""COMPUTED_VALUE"""),"CLAVY WARBY ASL")</f>
        <v>CLAVY WARBY ASL</v>
      </c>
      <c r="D26" s="46">
        <f ca="1">IFERROR(__xludf.DUMMYFUNCTION("""COMPUTED_VALUE"""),0)</f>
        <v>0</v>
      </c>
      <c r="E26" s="46">
        <f ca="1">IFERROR(__xludf.DUMMYFUNCTION("""COMPUTED_VALUE"""),0)</f>
        <v>0</v>
      </c>
      <c r="F26" s="46">
        <f ca="1">IFERROR(__xludf.DUMMYFUNCTION("""COMPUTED_VALUE"""),0)</f>
        <v>0</v>
      </c>
      <c r="G26" s="46">
        <f ca="1">IFERROR(__xludf.DUMMYFUNCTION("""COMPUTED_VALUE"""),0)</f>
        <v>0</v>
      </c>
      <c r="H26" s="46">
        <f ca="1">IFERROR(__xludf.DUMMYFUNCTION("""COMPUTED_VALUE"""),0)</f>
        <v>0</v>
      </c>
      <c r="I26" s="46">
        <f ca="1">IFERROR(__xludf.DUMMYFUNCTION("""COMPUTED_VALUE"""),0)</f>
        <v>0</v>
      </c>
      <c r="J26" s="46">
        <f ca="1">IFERROR(__xludf.DUMMYFUNCTION("""COMPUTED_VALUE"""),0)</f>
        <v>0</v>
      </c>
      <c r="K26" s="46">
        <f ca="1">IFERROR(__xludf.DUMMYFUNCTION("""COMPUTED_VALUE"""),0)</f>
        <v>0</v>
      </c>
      <c r="L26" s="46">
        <f ca="1">IFERROR(__xludf.DUMMYFUNCTION("""COMPUTED_VALUE"""),0)</f>
        <v>0</v>
      </c>
      <c r="M26" s="46">
        <f ca="1">IFERROR(__xludf.DUMMYFUNCTION("""COMPUTED_VALUE"""),0)</f>
        <v>0</v>
      </c>
      <c r="N26" s="46">
        <f ca="1">IFERROR(__xludf.DUMMYFUNCTION("""COMPUTED_VALUE"""),0)</f>
        <v>0</v>
      </c>
      <c r="O26" s="50">
        <f t="shared" ca="1" si="1"/>
        <v>0</v>
      </c>
    </row>
    <row r="27" spans="1:15" ht="12.75">
      <c r="A27" s="50" t="str">
        <f ca="1">IFERROR(__xludf.DUMMYFUNCTION("""COMPUTED_VALUE"""),"CD08")</f>
        <v>CD08</v>
      </c>
      <c r="B27" s="77" t="str">
        <f ca="1">IFERROR(__xludf.DUMMYFUNCTION("""COMPUTED_VALUE"""),"06080053")</f>
        <v>06080053</v>
      </c>
      <c r="C27" s="48" t="str">
        <f ca="1">IFERROR(__xludf.DUMMYFUNCTION("""COMPUTED_VALUE"""),"WARCQ TC")</f>
        <v>WARCQ TC</v>
      </c>
      <c r="D27" s="46">
        <f ca="1">IFERROR(__xludf.DUMMYFUNCTION("""COMPUTED_VALUE"""),0)</f>
        <v>0</v>
      </c>
      <c r="E27" s="46">
        <f ca="1">IFERROR(__xludf.DUMMYFUNCTION("""COMPUTED_VALUE"""),0)</f>
        <v>0</v>
      </c>
      <c r="F27" s="46">
        <f ca="1">IFERROR(__xludf.DUMMYFUNCTION("""COMPUTED_VALUE"""),0)</f>
        <v>0</v>
      </c>
      <c r="G27" s="46">
        <f ca="1">IFERROR(__xludf.DUMMYFUNCTION("""COMPUTED_VALUE"""),0)</f>
        <v>0</v>
      </c>
      <c r="H27" s="46">
        <f ca="1">IFERROR(__xludf.DUMMYFUNCTION("""COMPUTED_VALUE"""),0)</f>
        <v>0</v>
      </c>
      <c r="I27" s="46">
        <f ca="1">IFERROR(__xludf.DUMMYFUNCTION("""COMPUTED_VALUE"""),0)</f>
        <v>0</v>
      </c>
      <c r="J27" s="46">
        <f ca="1">IFERROR(__xludf.DUMMYFUNCTION("""COMPUTED_VALUE"""),0)</f>
        <v>0</v>
      </c>
      <c r="K27" s="46">
        <f ca="1">IFERROR(__xludf.DUMMYFUNCTION("""COMPUTED_VALUE"""),0)</f>
        <v>0</v>
      </c>
      <c r="L27" s="46">
        <f ca="1">IFERROR(__xludf.DUMMYFUNCTION("""COMPUTED_VALUE"""),0)</f>
        <v>0</v>
      </c>
      <c r="M27" s="46">
        <f ca="1">IFERROR(__xludf.DUMMYFUNCTION("""COMPUTED_VALUE"""),0)</f>
        <v>0</v>
      </c>
      <c r="N27" s="46">
        <f ca="1">IFERROR(__xludf.DUMMYFUNCTION("""COMPUTED_VALUE"""),0)</f>
        <v>0</v>
      </c>
      <c r="O27" s="50">
        <f t="shared" ca="1" si="1"/>
        <v>0</v>
      </c>
    </row>
    <row r="28" spans="1:15" ht="12.75">
      <c r="A28" s="50" t="str">
        <f ca="1">IFERROR(__xludf.DUMMYFUNCTION("""COMPUTED_VALUE"""),"CD08")</f>
        <v>CD08</v>
      </c>
      <c r="B28" s="77" t="str">
        <f ca="1">IFERROR(__xludf.DUMMYFUNCTION("""COMPUTED_VALUE"""),"06080057")</f>
        <v>06080057</v>
      </c>
      <c r="C28" s="48" t="str">
        <f ca="1">IFERROR(__xludf.DUMMYFUNCTION("""COMPUTED_VALUE"""),"NOUVION FLIZE USC")</f>
        <v>NOUVION FLIZE USC</v>
      </c>
      <c r="D28" s="46">
        <f ca="1">IFERROR(__xludf.DUMMYFUNCTION("""COMPUTED_VALUE"""),0)</f>
        <v>0</v>
      </c>
      <c r="E28" s="46">
        <f ca="1">IFERROR(__xludf.DUMMYFUNCTION("""COMPUTED_VALUE"""),0)</f>
        <v>0</v>
      </c>
      <c r="F28" s="46">
        <f ca="1">IFERROR(__xludf.DUMMYFUNCTION("""COMPUTED_VALUE"""),0)</f>
        <v>0</v>
      </c>
      <c r="G28" s="46">
        <f ca="1">IFERROR(__xludf.DUMMYFUNCTION("""COMPUTED_VALUE"""),0)</f>
        <v>0</v>
      </c>
      <c r="H28" s="46">
        <f ca="1">IFERROR(__xludf.DUMMYFUNCTION("""COMPUTED_VALUE"""),0)</f>
        <v>0</v>
      </c>
      <c r="I28" s="46">
        <f ca="1">IFERROR(__xludf.DUMMYFUNCTION("""COMPUTED_VALUE"""),0)</f>
        <v>0</v>
      </c>
      <c r="J28" s="46">
        <f ca="1">IFERROR(__xludf.DUMMYFUNCTION("""COMPUTED_VALUE"""),0)</f>
        <v>0</v>
      </c>
      <c r="K28" s="46">
        <f ca="1">IFERROR(__xludf.DUMMYFUNCTION("""COMPUTED_VALUE"""),0)</f>
        <v>0</v>
      </c>
      <c r="L28" s="46">
        <f ca="1">IFERROR(__xludf.DUMMYFUNCTION("""COMPUTED_VALUE"""),0)</f>
        <v>0</v>
      </c>
      <c r="M28" s="46">
        <f ca="1">IFERROR(__xludf.DUMMYFUNCTION("""COMPUTED_VALUE"""),0)</f>
        <v>0</v>
      </c>
      <c r="N28" s="46">
        <f ca="1">IFERROR(__xludf.DUMMYFUNCTION("""COMPUTED_VALUE"""),0)</f>
        <v>0</v>
      </c>
      <c r="O28" s="50">
        <f t="shared" ca="1" si="1"/>
        <v>0</v>
      </c>
    </row>
    <row r="29" spans="1:15" ht="12.75">
      <c r="A29" s="50" t="str">
        <f ca="1">IFERROR(__xludf.DUMMYFUNCTION("""COMPUTED_VALUE"""),"CD08")</f>
        <v>CD08</v>
      </c>
      <c r="B29" s="77" t="str">
        <f ca="1">IFERROR(__xludf.DUMMYFUNCTION("""COMPUTED_VALUE"""),"06080059")</f>
        <v>06080059</v>
      </c>
      <c r="C29" s="48" t="str">
        <f ca="1">IFERROR(__xludf.DUMMYFUNCTION("""COMPUTED_VALUE"""),"LA NEUVILLE EN TOURNE A FUY TTC")</f>
        <v>LA NEUVILLE EN TOURNE A FUY TTC</v>
      </c>
      <c r="D29" s="46">
        <f ca="1">IFERROR(__xludf.DUMMYFUNCTION("""COMPUTED_VALUE"""),0)</f>
        <v>0</v>
      </c>
      <c r="E29" s="46">
        <f ca="1">IFERROR(__xludf.DUMMYFUNCTION("""COMPUTED_VALUE"""),0)</f>
        <v>0</v>
      </c>
      <c r="F29" s="46">
        <f ca="1">IFERROR(__xludf.DUMMYFUNCTION("""COMPUTED_VALUE"""),0)</f>
        <v>0</v>
      </c>
      <c r="G29" s="46">
        <f ca="1">IFERROR(__xludf.DUMMYFUNCTION("""COMPUTED_VALUE"""),0)</f>
        <v>0</v>
      </c>
      <c r="H29" s="46">
        <f ca="1">IFERROR(__xludf.DUMMYFUNCTION("""COMPUTED_VALUE"""),0)</f>
        <v>0</v>
      </c>
      <c r="I29" s="46">
        <f ca="1">IFERROR(__xludf.DUMMYFUNCTION("""COMPUTED_VALUE"""),0)</f>
        <v>0</v>
      </c>
      <c r="J29" s="46">
        <f ca="1">IFERROR(__xludf.DUMMYFUNCTION("""COMPUTED_VALUE"""),0)</f>
        <v>0</v>
      </c>
      <c r="K29" s="46">
        <f ca="1">IFERROR(__xludf.DUMMYFUNCTION("""COMPUTED_VALUE"""),0)</f>
        <v>0</v>
      </c>
      <c r="L29" s="46">
        <f ca="1">IFERROR(__xludf.DUMMYFUNCTION("""COMPUTED_VALUE"""),0)</f>
        <v>0</v>
      </c>
      <c r="M29" s="46">
        <f ca="1">IFERROR(__xludf.DUMMYFUNCTION("""COMPUTED_VALUE"""),0)</f>
        <v>0</v>
      </c>
      <c r="N29" s="46">
        <f ca="1">IFERROR(__xludf.DUMMYFUNCTION("""COMPUTED_VALUE"""),0)</f>
        <v>0</v>
      </c>
      <c r="O29" s="50">
        <f t="shared" ca="1" si="1"/>
        <v>0</v>
      </c>
    </row>
    <row r="30" spans="1:15" ht="12.75">
      <c r="A30" s="50" t="str">
        <f ca="1">IFERROR(__xludf.DUMMYFUNCTION("""COMPUTED_VALUE"""),"CD08")</f>
        <v>CD08</v>
      </c>
      <c r="B30" s="77" t="str">
        <f ca="1">IFERROR(__xludf.DUMMYFUNCTION("""COMPUTED_VALUE"""),"06080064")</f>
        <v>06080064</v>
      </c>
      <c r="C30" s="48" t="str">
        <f ca="1">IFERROR(__xludf.DUMMYFUNCTION("""COMPUTED_VALUE"""),"VIVIER AU COURT CTT")</f>
        <v>VIVIER AU COURT CTT</v>
      </c>
      <c r="D30" s="46">
        <f ca="1">IFERROR(__xludf.DUMMYFUNCTION("""COMPUTED_VALUE"""),1)</f>
        <v>1</v>
      </c>
      <c r="E30" s="46">
        <f ca="1">IFERROR(__xludf.DUMMYFUNCTION("""COMPUTED_VALUE"""),0)</f>
        <v>0</v>
      </c>
      <c r="F30" s="46">
        <f ca="1">IFERROR(__xludf.DUMMYFUNCTION("""COMPUTED_VALUE"""),1)</f>
        <v>1</v>
      </c>
      <c r="G30" s="46">
        <f ca="1">IFERROR(__xludf.DUMMYFUNCTION("""COMPUTED_VALUE"""),0)</f>
        <v>0</v>
      </c>
      <c r="H30" s="46">
        <f ca="1">IFERROR(__xludf.DUMMYFUNCTION("""COMPUTED_VALUE"""),0)</f>
        <v>0</v>
      </c>
      <c r="I30" s="46">
        <f ca="1">IFERROR(__xludf.DUMMYFUNCTION("""COMPUTED_VALUE"""),1)</f>
        <v>1</v>
      </c>
      <c r="J30" s="46">
        <f ca="1">IFERROR(__xludf.DUMMYFUNCTION("""COMPUTED_VALUE"""),0)</f>
        <v>0</v>
      </c>
      <c r="K30" s="46">
        <f ca="1">IFERROR(__xludf.DUMMYFUNCTION("""COMPUTED_VALUE"""),0)</f>
        <v>0</v>
      </c>
      <c r="L30" s="46">
        <f ca="1">IFERROR(__xludf.DUMMYFUNCTION("""COMPUTED_VALUE"""),0)</f>
        <v>0</v>
      </c>
      <c r="M30" s="46">
        <f ca="1">IFERROR(__xludf.DUMMYFUNCTION("""COMPUTED_VALUE"""),0)</f>
        <v>0</v>
      </c>
      <c r="N30" s="46">
        <f ca="1">IFERROR(__xludf.DUMMYFUNCTION("""COMPUTED_VALUE"""),0)</f>
        <v>0</v>
      </c>
      <c r="O30" s="50">
        <f t="shared" ca="1" si="1"/>
        <v>3</v>
      </c>
    </row>
    <row r="31" spans="1:15" ht="12.75">
      <c r="A31" s="50" t="str">
        <f ca="1">IFERROR(__xludf.DUMMYFUNCTION("""COMPUTED_VALUE"""),"CD08")</f>
        <v>CD08</v>
      </c>
      <c r="B31" s="77" t="str">
        <f ca="1">IFERROR(__xludf.DUMMYFUNCTION("""COMPUTED_VALUE"""),"06080072")</f>
        <v>06080072</v>
      </c>
      <c r="C31" s="48" t="str">
        <f ca="1">IFERROR(__xludf.DUMMYFUNCTION("""COMPUTED_VALUE"""),"POIX TERRON CTT")</f>
        <v>POIX TERRON CTT</v>
      </c>
      <c r="D31" s="46">
        <f ca="1">IFERROR(__xludf.DUMMYFUNCTION("""COMPUTED_VALUE"""),0)</f>
        <v>0</v>
      </c>
      <c r="E31" s="46">
        <f ca="1">IFERROR(__xludf.DUMMYFUNCTION("""COMPUTED_VALUE"""),0)</f>
        <v>0</v>
      </c>
      <c r="F31" s="46">
        <f ca="1">IFERROR(__xludf.DUMMYFUNCTION("""COMPUTED_VALUE"""),1)</f>
        <v>1</v>
      </c>
      <c r="G31" s="46">
        <f ca="1">IFERROR(__xludf.DUMMYFUNCTION("""COMPUTED_VALUE"""),0)</f>
        <v>0</v>
      </c>
      <c r="H31" s="46">
        <f ca="1">IFERROR(__xludf.DUMMYFUNCTION("""COMPUTED_VALUE"""),0)</f>
        <v>0</v>
      </c>
      <c r="I31" s="46">
        <f ca="1">IFERROR(__xludf.DUMMYFUNCTION("""COMPUTED_VALUE"""),1)</f>
        <v>1</v>
      </c>
      <c r="J31" s="46">
        <f ca="1">IFERROR(__xludf.DUMMYFUNCTION("""COMPUTED_VALUE"""),0)</f>
        <v>0</v>
      </c>
      <c r="K31" s="46">
        <f ca="1">IFERROR(__xludf.DUMMYFUNCTION("""COMPUTED_VALUE"""),0)</f>
        <v>0</v>
      </c>
      <c r="L31" s="46">
        <f ca="1">IFERROR(__xludf.DUMMYFUNCTION("""COMPUTED_VALUE"""),0)</f>
        <v>0</v>
      </c>
      <c r="M31" s="46">
        <f ca="1">IFERROR(__xludf.DUMMYFUNCTION("""COMPUTED_VALUE"""),0)</f>
        <v>0</v>
      </c>
      <c r="N31" s="46">
        <f ca="1">IFERROR(__xludf.DUMMYFUNCTION("""COMPUTED_VALUE"""),0)</f>
        <v>0</v>
      </c>
      <c r="O31" s="50">
        <f t="shared" ca="1" si="1"/>
        <v>2</v>
      </c>
    </row>
    <row r="32" spans="1:15" ht="12.75">
      <c r="A32" s="50" t="str">
        <f ca="1">IFERROR(__xludf.DUMMYFUNCTION("""COMPUTED_VALUE"""),"CD08")</f>
        <v>CD08</v>
      </c>
      <c r="B32" s="77" t="str">
        <f ca="1">IFERROR(__xludf.DUMMYFUNCTION("""COMPUTED_VALUE"""),"06080074")</f>
        <v>06080074</v>
      </c>
      <c r="C32" s="48" t="str">
        <f ca="1">IFERROR(__xludf.DUMMYFUNCTION("""COMPUTED_VALUE"""),"NOUZONVILLE CTT")</f>
        <v>NOUZONVILLE CTT</v>
      </c>
      <c r="D32" s="46">
        <f ca="1">IFERROR(__xludf.DUMMYFUNCTION("""COMPUTED_VALUE"""),1)</f>
        <v>1</v>
      </c>
      <c r="E32" s="46">
        <f ca="1">IFERROR(__xludf.DUMMYFUNCTION("""COMPUTED_VALUE"""),0)</f>
        <v>0</v>
      </c>
      <c r="F32" s="46">
        <f ca="1">IFERROR(__xludf.DUMMYFUNCTION("""COMPUTED_VALUE"""),1)</f>
        <v>1</v>
      </c>
      <c r="G32" s="46">
        <f ca="1">IFERROR(__xludf.DUMMYFUNCTION("""COMPUTED_VALUE"""),0)</f>
        <v>0</v>
      </c>
      <c r="H32" s="46">
        <f ca="1">IFERROR(__xludf.DUMMYFUNCTION("""COMPUTED_VALUE"""),0)</f>
        <v>0</v>
      </c>
      <c r="I32" s="46">
        <f ca="1">IFERROR(__xludf.DUMMYFUNCTION("""COMPUTED_VALUE"""),1)</f>
        <v>1</v>
      </c>
      <c r="J32" s="46">
        <f ca="1">IFERROR(__xludf.DUMMYFUNCTION("""COMPUTED_VALUE"""),0)</f>
        <v>0</v>
      </c>
      <c r="K32" s="46">
        <f ca="1">IFERROR(__xludf.DUMMYFUNCTION("""COMPUTED_VALUE"""),0)</f>
        <v>0</v>
      </c>
      <c r="L32" s="46">
        <f ca="1">IFERROR(__xludf.DUMMYFUNCTION("""COMPUTED_VALUE"""),0)</f>
        <v>0</v>
      </c>
      <c r="M32" s="46">
        <f ca="1">IFERROR(__xludf.DUMMYFUNCTION("""COMPUTED_VALUE"""),0)</f>
        <v>0</v>
      </c>
      <c r="N32" s="46">
        <f ca="1">IFERROR(__xludf.DUMMYFUNCTION("""COMPUTED_VALUE"""),0)</f>
        <v>0</v>
      </c>
      <c r="O32" s="50">
        <f t="shared" ca="1" si="1"/>
        <v>3</v>
      </c>
    </row>
    <row r="33" spans="1:15" ht="12.75">
      <c r="A33" s="50" t="str">
        <f ca="1">IFERROR(__xludf.DUMMYFUNCTION("""COMPUTED_VALUE"""),"CD08")</f>
        <v>CD08</v>
      </c>
      <c r="B33" s="77" t="str">
        <f ca="1">IFERROR(__xludf.DUMMYFUNCTION("""COMPUTED_VALUE"""),"06080076")</f>
        <v>06080076</v>
      </c>
      <c r="C33" s="48" t="str">
        <f ca="1">IFERROR(__xludf.DUMMYFUNCTION("""COMPUTED_VALUE"""),"RETHELOIS PPC")</f>
        <v>RETHELOIS PPC</v>
      </c>
      <c r="D33" s="46">
        <f ca="1">IFERROR(__xludf.DUMMYFUNCTION("""COMPUTED_VALUE"""),0)</f>
        <v>0</v>
      </c>
      <c r="E33" s="46">
        <f ca="1">IFERROR(__xludf.DUMMYFUNCTION("""COMPUTED_VALUE"""),0)</f>
        <v>0</v>
      </c>
      <c r="F33" s="46">
        <f ca="1">IFERROR(__xludf.DUMMYFUNCTION("""COMPUTED_VALUE"""),0)</f>
        <v>0</v>
      </c>
      <c r="G33" s="46">
        <f ca="1">IFERROR(__xludf.DUMMYFUNCTION("""COMPUTED_VALUE"""),0)</f>
        <v>0</v>
      </c>
      <c r="H33" s="46">
        <f ca="1">IFERROR(__xludf.DUMMYFUNCTION("""COMPUTED_VALUE"""),0)</f>
        <v>0</v>
      </c>
      <c r="I33" s="46">
        <f ca="1">IFERROR(__xludf.DUMMYFUNCTION("""COMPUTED_VALUE"""),0)</f>
        <v>0</v>
      </c>
      <c r="J33" s="46">
        <f ca="1">IFERROR(__xludf.DUMMYFUNCTION("""COMPUTED_VALUE"""),0)</f>
        <v>0</v>
      </c>
      <c r="K33" s="46">
        <f ca="1">IFERROR(__xludf.DUMMYFUNCTION("""COMPUTED_VALUE"""),0)</f>
        <v>0</v>
      </c>
      <c r="L33" s="46">
        <f ca="1">IFERROR(__xludf.DUMMYFUNCTION("""COMPUTED_VALUE"""),0)</f>
        <v>0</v>
      </c>
      <c r="M33" s="46">
        <f ca="1">IFERROR(__xludf.DUMMYFUNCTION("""COMPUTED_VALUE"""),0)</f>
        <v>0</v>
      </c>
      <c r="N33" s="46">
        <f ca="1">IFERROR(__xludf.DUMMYFUNCTION("""COMPUTED_VALUE"""),0)</f>
        <v>0</v>
      </c>
      <c r="O33" s="50">
        <f t="shared" ca="1" si="1"/>
        <v>0</v>
      </c>
    </row>
    <row r="34" spans="1:15" ht="12.75">
      <c r="A34" s="50" t="str">
        <f ca="1">IFERROR(__xludf.DUMMYFUNCTION("""COMPUTED_VALUE"""),"CD08")</f>
        <v>CD08</v>
      </c>
      <c r="B34" s="77" t="str">
        <f ca="1">IFERROR(__xludf.DUMMYFUNCTION("""COMPUTED_VALUE"""),"06080082")</f>
        <v>06080082</v>
      </c>
      <c r="C34" s="48" t="str">
        <f ca="1">IFERROR(__xludf.DUMMYFUNCTION("""COMPUTED_VALUE"""),"GLAIRE ASTT")</f>
        <v>GLAIRE ASTT</v>
      </c>
      <c r="D34" s="46">
        <f ca="1">IFERROR(__xludf.DUMMYFUNCTION("""COMPUTED_VALUE"""),1)</f>
        <v>1</v>
      </c>
      <c r="E34" s="46">
        <f ca="1">IFERROR(__xludf.DUMMYFUNCTION("""COMPUTED_VALUE"""),0)</f>
        <v>0</v>
      </c>
      <c r="F34" s="46">
        <f ca="1">IFERROR(__xludf.DUMMYFUNCTION("""COMPUTED_VALUE"""),1)</f>
        <v>1</v>
      </c>
      <c r="G34" s="46">
        <f ca="1">IFERROR(__xludf.DUMMYFUNCTION("""COMPUTED_VALUE"""),2)</f>
        <v>2</v>
      </c>
      <c r="H34" s="46">
        <f ca="1">IFERROR(__xludf.DUMMYFUNCTION("""COMPUTED_VALUE"""),0)</f>
        <v>0</v>
      </c>
      <c r="I34" s="46">
        <f ca="1">IFERROR(__xludf.DUMMYFUNCTION("""COMPUTED_VALUE"""),1)</f>
        <v>1</v>
      </c>
      <c r="J34" s="46">
        <f ca="1">IFERROR(__xludf.DUMMYFUNCTION("""COMPUTED_VALUE"""),2)</f>
        <v>2</v>
      </c>
      <c r="K34" s="46">
        <f ca="1">IFERROR(__xludf.DUMMYFUNCTION("""COMPUTED_VALUE"""),0)</f>
        <v>0</v>
      </c>
      <c r="L34" s="46">
        <f ca="1">IFERROR(__xludf.DUMMYFUNCTION("""COMPUTED_VALUE"""),0)</f>
        <v>0</v>
      </c>
      <c r="M34" s="46">
        <f ca="1">IFERROR(__xludf.DUMMYFUNCTION("""COMPUTED_VALUE"""),0)</f>
        <v>0</v>
      </c>
      <c r="N34" s="46">
        <f ca="1">IFERROR(__xludf.DUMMYFUNCTION("""COMPUTED_VALUE"""),1)</f>
        <v>1</v>
      </c>
      <c r="O34" s="50">
        <f t="shared" ca="1" si="1"/>
        <v>8</v>
      </c>
    </row>
    <row r="35" spans="1:15" ht="12.75">
      <c r="A35" s="50" t="str">
        <f ca="1">IFERROR(__xludf.DUMMYFUNCTION("""COMPUTED_VALUE"""),"CD08")</f>
        <v>CD08</v>
      </c>
      <c r="B35" s="77" t="str">
        <f ca="1">IFERROR(__xludf.DUMMYFUNCTION("""COMPUTED_VALUE"""),"06080087")</f>
        <v>06080087</v>
      </c>
      <c r="C35" s="48" t="str">
        <f ca="1">IFERROR(__xludf.DUMMYFUNCTION("""COMPUTED_VALUE"""),"CARIGNAN YVOISIEN CTT")</f>
        <v>CARIGNAN YVOISIEN CTT</v>
      </c>
      <c r="D35" s="46">
        <f ca="1">IFERROR(__xludf.DUMMYFUNCTION("""COMPUTED_VALUE"""),1)</f>
        <v>1</v>
      </c>
      <c r="E35" s="46">
        <f ca="1">IFERROR(__xludf.DUMMYFUNCTION("""COMPUTED_VALUE"""),0)</f>
        <v>0</v>
      </c>
      <c r="F35" s="46">
        <f ca="1">IFERROR(__xludf.DUMMYFUNCTION("""COMPUTED_VALUE"""),2)</f>
        <v>2</v>
      </c>
      <c r="G35" s="46">
        <f ca="1">IFERROR(__xludf.DUMMYFUNCTION("""COMPUTED_VALUE"""),0)</f>
        <v>0</v>
      </c>
      <c r="H35" s="46">
        <f ca="1">IFERROR(__xludf.DUMMYFUNCTION("""COMPUTED_VALUE"""),0)</f>
        <v>0</v>
      </c>
      <c r="I35" s="46">
        <f ca="1">IFERROR(__xludf.DUMMYFUNCTION("""COMPUTED_VALUE"""),2)</f>
        <v>2</v>
      </c>
      <c r="J35" s="46">
        <f ca="1">IFERROR(__xludf.DUMMYFUNCTION("""COMPUTED_VALUE"""),0)</f>
        <v>0</v>
      </c>
      <c r="K35" s="46">
        <f ca="1">IFERROR(__xludf.DUMMYFUNCTION("""COMPUTED_VALUE"""),0)</f>
        <v>0</v>
      </c>
      <c r="L35" s="46">
        <f ca="1">IFERROR(__xludf.DUMMYFUNCTION("""COMPUTED_VALUE"""),0)</f>
        <v>0</v>
      </c>
      <c r="M35" s="46">
        <f ca="1">IFERROR(__xludf.DUMMYFUNCTION("""COMPUTED_VALUE"""),0)</f>
        <v>0</v>
      </c>
      <c r="N35" s="46">
        <f ca="1">IFERROR(__xludf.DUMMYFUNCTION("""COMPUTED_VALUE"""),0)</f>
        <v>0</v>
      </c>
      <c r="O35" s="50">
        <f t="shared" ca="1" si="1"/>
        <v>5</v>
      </c>
    </row>
    <row r="36" spans="1:15" ht="12.75">
      <c r="A36" s="50" t="str">
        <f ca="1">IFERROR(__xludf.DUMMYFUNCTION("""COMPUTED_VALUE"""),"CD08")</f>
        <v>CD08</v>
      </c>
      <c r="B36" s="77" t="str">
        <f ca="1">IFERROR(__xludf.DUMMYFUNCTION("""COMPUTED_VALUE"""),"06080093")</f>
        <v>06080093</v>
      </c>
      <c r="C36" s="48" t="str">
        <f ca="1">IFERROR(__xludf.DUMMYFUNCTION("""COMPUTED_VALUE"""),"MOGUES TT")</f>
        <v>MOGUES TT</v>
      </c>
      <c r="D36" s="46">
        <f ca="1">IFERROR(__xludf.DUMMYFUNCTION("""COMPUTED_VALUE"""),0)</f>
        <v>0</v>
      </c>
      <c r="E36" s="46">
        <f ca="1">IFERROR(__xludf.DUMMYFUNCTION("""COMPUTED_VALUE"""),0)</f>
        <v>0</v>
      </c>
      <c r="F36" s="46">
        <f ca="1">IFERROR(__xludf.DUMMYFUNCTION("""COMPUTED_VALUE"""),0)</f>
        <v>0</v>
      </c>
      <c r="G36" s="46">
        <f ca="1">IFERROR(__xludf.DUMMYFUNCTION("""COMPUTED_VALUE"""),0)</f>
        <v>0</v>
      </c>
      <c r="H36" s="46">
        <f ca="1">IFERROR(__xludf.DUMMYFUNCTION("""COMPUTED_VALUE"""),0)</f>
        <v>0</v>
      </c>
      <c r="I36" s="46">
        <f ca="1">IFERROR(__xludf.DUMMYFUNCTION("""COMPUTED_VALUE"""),0)</f>
        <v>0</v>
      </c>
      <c r="J36" s="46">
        <f ca="1">IFERROR(__xludf.DUMMYFUNCTION("""COMPUTED_VALUE"""),0)</f>
        <v>0</v>
      </c>
      <c r="K36" s="46">
        <f ca="1">IFERROR(__xludf.DUMMYFUNCTION("""COMPUTED_VALUE"""),0)</f>
        <v>0</v>
      </c>
      <c r="L36" s="46">
        <f ca="1">IFERROR(__xludf.DUMMYFUNCTION("""COMPUTED_VALUE"""),0)</f>
        <v>0</v>
      </c>
      <c r="M36" s="46">
        <f ca="1">IFERROR(__xludf.DUMMYFUNCTION("""COMPUTED_VALUE"""),0)</f>
        <v>0</v>
      </c>
      <c r="N36" s="46">
        <f ca="1">IFERROR(__xludf.DUMMYFUNCTION("""COMPUTED_VALUE"""),0)</f>
        <v>0</v>
      </c>
      <c r="O36" s="50">
        <f t="shared" ca="1" si="1"/>
        <v>0</v>
      </c>
    </row>
    <row r="37" spans="1:15" ht="12.75">
      <c r="A37" s="50" t="str">
        <f ca="1">IFERROR(__xludf.DUMMYFUNCTION("""COMPUTED_VALUE"""),"CD08")</f>
        <v>CD08</v>
      </c>
      <c r="B37" s="77" t="str">
        <f ca="1">IFERROR(__xludf.DUMMYFUNCTION("""COMPUTED_VALUE"""),"06080097")</f>
        <v>06080097</v>
      </c>
      <c r="C37" s="48" t="str">
        <f ca="1">IFERROR(__xludf.DUMMYFUNCTION("""COMPUTED_VALUE"""),"MONTHERME CTT")</f>
        <v>MONTHERME CTT</v>
      </c>
      <c r="D37" s="46">
        <f ca="1">IFERROR(__xludf.DUMMYFUNCTION("""COMPUTED_VALUE"""),0)</f>
        <v>0</v>
      </c>
      <c r="E37" s="46">
        <f ca="1">IFERROR(__xludf.DUMMYFUNCTION("""COMPUTED_VALUE"""),0)</f>
        <v>0</v>
      </c>
      <c r="F37" s="46">
        <f ca="1">IFERROR(__xludf.DUMMYFUNCTION("""COMPUTED_VALUE"""),0)</f>
        <v>0</v>
      </c>
      <c r="G37" s="46">
        <f ca="1">IFERROR(__xludf.DUMMYFUNCTION("""COMPUTED_VALUE"""),0)</f>
        <v>0</v>
      </c>
      <c r="H37" s="46">
        <f ca="1">IFERROR(__xludf.DUMMYFUNCTION("""COMPUTED_VALUE"""),0)</f>
        <v>0</v>
      </c>
      <c r="I37" s="46">
        <f ca="1">IFERROR(__xludf.DUMMYFUNCTION("""COMPUTED_VALUE"""),0)</f>
        <v>0</v>
      </c>
      <c r="J37" s="46">
        <f ca="1">IFERROR(__xludf.DUMMYFUNCTION("""COMPUTED_VALUE"""),0)</f>
        <v>0</v>
      </c>
      <c r="K37" s="46">
        <f ca="1">IFERROR(__xludf.DUMMYFUNCTION("""COMPUTED_VALUE"""),0)</f>
        <v>0</v>
      </c>
      <c r="L37" s="46">
        <f ca="1">IFERROR(__xludf.DUMMYFUNCTION("""COMPUTED_VALUE"""),0)</f>
        <v>0</v>
      </c>
      <c r="M37" s="46">
        <f ca="1">IFERROR(__xludf.DUMMYFUNCTION("""COMPUTED_VALUE"""),0)</f>
        <v>0</v>
      </c>
      <c r="N37" s="46">
        <f ca="1">IFERROR(__xludf.DUMMYFUNCTION("""COMPUTED_VALUE"""),0)</f>
        <v>0</v>
      </c>
      <c r="O37" s="50">
        <f t="shared" ca="1" si="1"/>
        <v>0</v>
      </c>
    </row>
    <row r="38" spans="1:15" ht="12.75">
      <c r="A38" s="50" t="str">
        <f ca="1">IFERROR(__xludf.DUMMYFUNCTION("""COMPUTED_VALUE"""),"CD08")</f>
        <v>CD08</v>
      </c>
      <c r="B38" s="77" t="str">
        <f ca="1">IFERROR(__xludf.DUMMYFUNCTION("""COMPUTED_VALUE"""),"06080099")</f>
        <v>06080099</v>
      </c>
      <c r="C38" s="48" t="str">
        <f ca="1">IFERROR(__xludf.DUMMYFUNCTION("""COMPUTED_VALUE"""),"BAIRON Tennis de Table")</f>
        <v>BAIRON Tennis de Table</v>
      </c>
      <c r="D38" s="46">
        <f ca="1">IFERROR(__xludf.DUMMYFUNCTION("""COMPUTED_VALUE"""),0)</f>
        <v>0</v>
      </c>
      <c r="E38" s="46">
        <f ca="1">IFERROR(__xludf.DUMMYFUNCTION("""COMPUTED_VALUE"""),0)</f>
        <v>0</v>
      </c>
      <c r="F38" s="46">
        <f ca="1">IFERROR(__xludf.DUMMYFUNCTION("""COMPUTED_VALUE"""),0)</f>
        <v>0</v>
      </c>
      <c r="G38" s="46">
        <f ca="1">IFERROR(__xludf.DUMMYFUNCTION("""COMPUTED_VALUE"""),0)</f>
        <v>0</v>
      </c>
      <c r="H38" s="46">
        <f ca="1">IFERROR(__xludf.DUMMYFUNCTION("""COMPUTED_VALUE"""),0)</f>
        <v>0</v>
      </c>
      <c r="I38" s="46">
        <f ca="1">IFERROR(__xludf.DUMMYFUNCTION("""COMPUTED_VALUE"""),0)</f>
        <v>0</v>
      </c>
      <c r="J38" s="46">
        <f ca="1">IFERROR(__xludf.DUMMYFUNCTION("""COMPUTED_VALUE"""),0)</f>
        <v>0</v>
      </c>
      <c r="K38" s="46">
        <f ca="1">IFERROR(__xludf.DUMMYFUNCTION("""COMPUTED_VALUE"""),0)</f>
        <v>0</v>
      </c>
      <c r="L38" s="46">
        <f ca="1">IFERROR(__xludf.DUMMYFUNCTION("""COMPUTED_VALUE"""),0)</f>
        <v>0</v>
      </c>
      <c r="M38" s="46">
        <f ca="1">IFERROR(__xludf.DUMMYFUNCTION("""COMPUTED_VALUE"""),0)</f>
        <v>0</v>
      </c>
      <c r="N38" s="46">
        <f ca="1">IFERROR(__xludf.DUMMYFUNCTION("""COMPUTED_VALUE"""),0)</f>
        <v>0</v>
      </c>
      <c r="O38" s="50">
        <f t="shared" ca="1" si="1"/>
        <v>0</v>
      </c>
    </row>
    <row r="39" spans="1:15" ht="12.75">
      <c r="A39" s="50" t="str">
        <f ca="1">IFERROR(__xludf.DUMMYFUNCTION("""COMPUTED_VALUE"""),"CD10")</f>
        <v>CD10</v>
      </c>
      <c r="B39" s="77" t="str">
        <f ca="1">IFERROR(__xludf.DUMMYFUNCTION("""COMPUTED_VALUE"""),"06100002")</f>
        <v>06100002</v>
      </c>
      <c r="C39" s="48" t="str">
        <f ca="1">IFERROR(__xludf.DUMMYFUNCTION("""COMPUTED_VALUE"""),"TROYES O.S - NOËS TT")</f>
        <v>TROYES O.S - NOËS TT</v>
      </c>
      <c r="D39" s="46">
        <f ca="1">IFERROR(__xludf.DUMMYFUNCTION("""COMPUTED_VALUE"""),1)</f>
        <v>1</v>
      </c>
      <c r="E39" s="46">
        <f ca="1">IFERROR(__xludf.DUMMYFUNCTION("""COMPUTED_VALUE"""),0)</f>
        <v>0</v>
      </c>
      <c r="F39" s="46">
        <f ca="1">IFERROR(__xludf.DUMMYFUNCTION("""COMPUTED_VALUE"""),7)</f>
        <v>7</v>
      </c>
      <c r="G39" s="46">
        <f ca="1">IFERROR(__xludf.DUMMYFUNCTION("""COMPUTED_VALUE"""),1)</f>
        <v>1</v>
      </c>
      <c r="H39" s="46">
        <f ca="1">IFERROR(__xludf.DUMMYFUNCTION("""COMPUTED_VALUE"""),0)</f>
        <v>0</v>
      </c>
      <c r="I39" s="46">
        <f ca="1">IFERROR(__xludf.DUMMYFUNCTION("""COMPUTED_VALUE"""),6)</f>
        <v>6</v>
      </c>
      <c r="J39" s="46">
        <f ca="1">IFERROR(__xludf.DUMMYFUNCTION("""COMPUTED_VALUE"""),0)</f>
        <v>0</v>
      </c>
      <c r="K39" s="46">
        <f ca="1">IFERROR(__xludf.DUMMYFUNCTION("""COMPUTED_VALUE"""),1)</f>
        <v>1</v>
      </c>
      <c r="L39" s="46">
        <f ca="1">IFERROR(__xludf.DUMMYFUNCTION("""COMPUTED_VALUE"""),0)</f>
        <v>0</v>
      </c>
      <c r="M39" s="46">
        <f ca="1">IFERROR(__xludf.DUMMYFUNCTION("""COMPUTED_VALUE"""),0)</f>
        <v>0</v>
      </c>
      <c r="N39" s="46">
        <f ca="1">IFERROR(__xludf.DUMMYFUNCTION("""COMPUTED_VALUE"""),1)</f>
        <v>1</v>
      </c>
      <c r="O39" s="50">
        <f t="shared" ca="1" si="1"/>
        <v>17</v>
      </c>
    </row>
    <row r="40" spans="1:15" ht="12.75">
      <c r="A40" s="50" t="str">
        <f ca="1">IFERROR(__xludf.DUMMYFUNCTION("""COMPUTED_VALUE"""),"CD10")</f>
        <v>CD10</v>
      </c>
      <c r="B40" s="77" t="str">
        <f ca="1">IFERROR(__xludf.DUMMYFUNCTION("""COMPUTED_VALUE"""),"06100004")</f>
        <v>06100004</v>
      </c>
      <c r="C40" s="48" t="str">
        <f ca="1">IFERROR(__xludf.DUMMYFUNCTION("""COMPUTED_VALUE"""),"MOUSSEY CS")</f>
        <v>MOUSSEY CS</v>
      </c>
      <c r="D40" s="46">
        <f ca="1">IFERROR(__xludf.DUMMYFUNCTION("""COMPUTED_VALUE"""),0)</f>
        <v>0</v>
      </c>
      <c r="E40" s="46">
        <f ca="1">IFERROR(__xludf.DUMMYFUNCTION("""COMPUTED_VALUE"""),0)</f>
        <v>0</v>
      </c>
      <c r="F40" s="46">
        <f ca="1">IFERROR(__xludf.DUMMYFUNCTION("""COMPUTED_VALUE"""),7)</f>
        <v>7</v>
      </c>
      <c r="G40" s="46">
        <f ca="1">IFERROR(__xludf.DUMMYFUNCTION("""COMPUTED_VALUE"""),0)</f>
        <v>0</v>
      </c>
      <c r="H40" s="46">
        <f ca="1">IFERROR(__xludf.DUMMYFUNCTION("""COMPUTED_VALUE"""),0)</f>
        <v>0</v>
      </c>
      <c r="I40" s="46">
        <f ca="1">IFERROR(__xludf.DUMMYFUNCTION("""COMPUTED_VALUE"""),6)</f>
        <v>6</v>
      </c>
      <c r="J40" s="46">
        <f ca="1">IFERROR(__xludf.DUMMYFUNCTION("""COMPUTED_VALUE"""),0)</f>
        <v>0</v>
      </c>
      <c r="K40" s="46">
        <f ca="1">IFERROR(__xludf.DUMMYFUNCTION("""COMPUTED_VALUE"""),0)</f>
        <v>0</v>
      </c>
      <c r="L40" s="46">
        <f ca="1">IFERROR(__xludf.DUMMYFUNCTION("""COMPUTED_VALUE"""),0)</f>
        <v>0</v>
      </c>
      <c r="M40" s="46">
        <f ca="1">IFERROR(__xludf.DUMMYFUNCTION("""COMPUTED_VALUE"""),0)</f>
        <v>0</v>
      </c>
      <c r="N40" s="46">
        <f ca="1">IFERROR(__xludf.DUMMYFUNCTION("""COMPUTED_VALUE"""),0)</f>
        <v>0</v>
      </c>
      <c r="O40" s="50">
        <f t="shared" ca="1" si="1"/>
        <v>13</v>
      </c>
    </row>
    <row r="41" spans="1:15" ht="12.75">
      <c r="A41" s="50" t="str">
        <f ca="1">IFERROR(__xludf.DUMMYFUNCTION("""COMPUTED_VALUE"""),"CD10")</f>
        <v>CD10</v>
      </c>
      <c r="B41" s="77" t="str">
        <f ca="1">IFERROR(__xludf.DUMMYFUNCTION("""COMPUTED_VALUE"""),"06100005")</f>
        <v>06100005</v>
      </c>
      <c r="C41" s="48" t="str">
        <f ca="1">IFERROR(__xludf.DUMMYFUNCTION("""COMPUTED_VALUE"""),"ROMILLY SPORTS 10")</f>
        <v>ROMILLY SPORTS 10</v>
      </c>
      <c r="D41" s="46">
        <f ca="1">IFERROR(__xludf.DUMMYFUNCTION("""COMPUTED_VALUE"""),0)</f>
        <v>0</v>
      </c>
      <c r="E41" s="46">
        <f ca="1">IFERROR(__xludf.DUMMYFUNCTION("""COMPUTED_VALUE"""),0)</f>
        <v>0</v>
      </c>
      <c r="F41" s="46">
        <f ca="1">IFERROR(__xludf.DUMMYFUNCTION("""COMPUTED_VALUE"""),5)</f>
        <v>5</v>
      </c>
      <c r="G41" s="46">
        <f ca="1">IFERROR(__xludf.DUMMYFUNCTION("""COMPUTED_VALUE"""),0)</f>
        <v>0</v>
      </c>
      <c r="H41" s="46">
        <f ca="1">IFERROR(__xludf.DUMMYFUNCTION("""COMPUTED_VALUE"""),0)</f>
        <v>0</v>
      </c>
      <c r="I41" s="46">
        <f ca="1">IFERROR(__xludf.DUMMYFUNCTION("""COMPUTED_VALUE"""),4)</f>
        <v>4</v>
      </c>
      <c r="J41" s="46">
        <f ca="1">IFERROR(__xludf.DUMMYFUNCTION("""COMPUTED_VALUE"""),1)</f>
        <v>1</v>
      </c>
      <c r="K41" s="46">
        <f ca="1">IFERROR(__xludf.DUMMYFUNCTION("""COMPUTED_VALUE"""),0)</f>
        <v>0</v>
      </c>
      <c r="L41" s="46">
        <f ca="1">IFERROR(__xludf.DUMMYFUNCTION("""COMPUTED_VALUE"""),0)</f>
        <v>0</v>
      </c>
      <c r="M41" s="46">
        <f ca="1">IFERROR(__xludf.DUMMYFUNCTION("""COMPUTED_VALUE"""),0)</f>
        <v>0</v>
      </c>
      <c r="N41" s="46">
        <f ca="1">IFERROR(__xludf.DUMMYFUNCTION("""COMPUTED_VALUE"""),0)</f>
        <v>0</v>
      </c>
      <c r="O41" s="50">
        <f t="shared" ca="1" si="1"/>
        <v>10</v>
      </c>
    </row>
    <row r="42" spans="1:15" ht="12.75">
      <c r="A42" s="50" t="str">
        <f ca="1">IFERROR(__xludf.DUMMYFUNCTION("""COMPUTED_VALUE"""),"CD10")</f>
        <v>CD10</v>
      </c>
      <c r="B42" s="77" t="str">
        <f ca="1">IFERROR(__xludf.DUMMYFUNCTION("""COMPUTED_VALUE"""),"06100007")</f>
        <v>06100007</v>
      </c>
      <c r="C42" s="48" t="str">
        <f ca="1">IFERROR(__xludf.DUMMYFUNCTION("""COMPUTED_VALUE"""),"ST PARRES AUX TERTRES AST")</f>
        <v>ST PARRES AUX TERTRES AST</v>
      </c>
      <c r="D42" s="46">
        <f ca="1">IFERROR(__xludf.DUMMYFUNCTION("""COMPUTED_VALUE"""),1)</f>
        <v>1</v>
      </c>
      <c r="E42" s="46">
        <f ca="1">IFERROR(__xludf.DUMMYFUNCTION("""COMPUTED_VALUE"""),0)</f>
        <v>0</v>
      </c>
      <c r="F42" s="46">
        <f ca="1">IFERROR(__xludf.DUMMYFUNCTION("""COMPUTED_VALUE"""),3)</f>
        <v>3</v>
      </c>
      <c r="G42" s="46">
        <f ca="1">IFERROR(__xludf.DUMMYFUNCTION("""COMPUTED_VALUE"""),0)</f>
        <v>0</v>
      </c>
      <c r="H42" s="46">
        <f ca="1">IFERROR(__xludf.DUMMYFUNCTION("""COMPUTED_VALUE"""),0)</f>
        <v>0</v>
      </c>
      <c r="I42" s="46">
        <f ca="1">IFERROR(__xludf.DUMMYFUNCTION("""COMPUTED_VALUE"""),2)</f>
        <v>2</v>
      </c>
      <c r="J42" s="46">
        <f ca="1">IFERROR(__xludf.DUMMYFUNCTION("""COMPUTED_VALUE"""),0)</f>
        <v>0</v>
      </c>
      <c r="K42" s="46">
        <f ca="1">IFERROR(__xludf.DUMMYFUNCTION("""COMPUTED_VALUE"""),1)</f>
        <v>1</v>
      </c>
      <c r="L42" s="46">
        <f ca="1">IFERROR(__xludf.DUMMYFUNCTION("""COMPUTED_VALUE"""),0)</f>
        <v>0</v>
      </c>
      <c r="M42" s="46">
        <f ca="1">IFERROR(__xludf.DUMMYFUNCTION("""COMPUTED_VALUE"""),0)</f>
        <v>0</v>
      </c>
      <c r="N42" s="46">
        <f ca="1">IFERROR(__xludf.DUMMYFUNCTION("""COMPUTED_VALUE"""),1)</f>
        <v>1</v>
      </c>
      <c r="O42" s="50">
        <f t="shared" ca="1" si="1"/>
        <v>8</v>
      </c>
    </row>
    <row r="43" spans="1:15" ht="12.75">
      <c r="A43" s="50" t="str">
        <f ca="1">IFERROR(__xludf.DUMMYFUNCTION("""COMPUTED_VALUE"""),"CD10")</f>
        <v>CD10</v>
      </c>
      <c r="B43" s="77" t="str">
        <f ca="1">IFERROR(__xludf.DUMMYFUNCTION("""COMPUTED_VALUE"""),"06100015")</f>
        <v>06100015</v>
      </c>
      <c r="C43" s="48" t="str">
        <f ca="1">IFERROR(__xludf.DUMMYFUNCTION("""COMPUTED_VALUE"""),"TROYES JEUNE GARDE")</f>
        <v>TROYES JEUNE GARDE</v>
      </c>
      <c r="D43" s="46">
        <f ca="1">IFERROR(__xludf.DUMMYFUNCTION("""COMPUTED_VALUE"""),0)</f>
        <v>0</v>
      </c>
      <c r="E43" s="46">
        <f ca="1">IFERROR(__xludf.DUMMYFUNCTION("""COMPUTED_VALUE"""),0)</f>
        <v>0</v>
      </c>
      <c r="F43" s="46">
        <f ca="1">IFERROR(__xludf.DUMMYFUNCTION("""COMPUTED_VALUE"""),6)</f>
        <v>6</v>
      </c>
      <c r="G43" s="46">
        <f ca="1">IFERROR(__xludf.DUMMYFUNCTION("""COMPUTED_VALUE"""),0)</f>
        <v>0</v>
      </c>
      <c r="H43" s="46">
        <f ca="1">IFERROR(__xludf.DUMMYFUNCTION("""COMPUTED_VALUE"""),0)</f>
        <v>0</v>
      </c>
      <c r="I43" s="46">
        <f ca="1">IFERROR(__xludf.DUMMYFUNCTION("""COMPUTED_VALUE"""),5)</f>
        <v>5</v>
      </c>
      <c r="J43" s="46">
        <f ca="1">IFERROR(__xludf.DUMMYFUNCTION("""COMPUTED_VALUE"""),0)</f>
        <v>0</v>
      </c>
      <c r="K43" s="46">
        <f ca="1">IFERROR(__xludf.DUMMYFUNCTION("""COMPUTED_VALUE"""),1)</f>
        <v>1</v>
      </c>
      <c r="L43" s="46">
        <f ca="1">IFERROR(__xludf.DUMMYFUNCTION("""COMPUTED_VALUE"""),0)</f>
        <v>0</v>
      </c>
      <c r="M43" s="46">
        <f ca="1">IFERROR(__xludf.DUMMYFUNCTION("""COMPUTED_VALUE"""),0)</f>
        <v>0</v>
      </c>
      <c r="N43" s="46">
        <f ca="1">IFERROR(__xludf.DUMMYFUNCTION("""COMPUTED_VALUE"""),1)</f>
        <v>1</v>
      </c>
      <c r="O43" s="50">
        <f t="shared" ca="1" si="1"/>
        <v>13</v>
      </c>
    </row>
    <row r="44" spans="1:15" ht="12.75">
      <c r="A44" s="50" t="str">
        <f ca="1">IFERROR(__xludf.DUMMYFUNCTION("""COMPUTED_VALUE"""),"CD10")</f>
        <v>CD10</v>
      </c>
      <c r="B44" s="77" t="str">
        <f ca="1">IFERROR(__xludf.DUMMYFUNCTION("""COMPUTED_VALUE"""),"06100016")</f>
        <v>06100016</v>
      </c>
      <c r="C44" s="48" t="str">
        <f ca="1">IFERROR(__xludf.DUMMYFUNCTION("""COMPUTED_VALUE"""),"BAR SUR SEINE FJ")</f>
        <v>BAR SUR SEINE FJ</v>
      </c>
      <c r="D44" s="46">
        <f ca="1">IFERROR(__xludf.DUMMYFUNCTION("""COMPUTED_VALUE"""),0)</f>
        <v>0</v>
      </c>
      <c r="E44" s="46">
        <f ca="1">IFERROR(__xludf.DUMMYFUNCTION("""COMPUTED_VALUE"""),0)</f>
        <v>0</v>
      </c>
      <c r="F44" s="46">
        <f ca="1">IFERROR(__xludf.DUMMYFUNCTION("""COMPUTED_VALUE"""),4)</f>
        <v>4</v>
      </c>
      <c r="G44" s="46">
        <f ca="1">IFERROR(__xludf.DUMMYFUNCTION("""COMPUTED_VALUE"""),0)</f>
        <v>0</v>
      </c>
      <c r="H44" s="46">
        <f ca="1">IFERROR(__xludf.DUMMYFUNCTION("""COMPUTED_VALUE"""),0)</f>
        <v>0</v>
      </c>
      <c r="I44" s="46">
        <f ca="1">IFERROR(__xludf.DUMMYFUNCTION("""COMPUTED_VALUE"""),3)</f>
        <v>3</v>
      </c>
      <c r="J44" s="46">
        <f ca="1">IFERROR(__xludf.DUMMYFUNCTION("""COMPUTED_VALUE"""),0)</f>
        <v>0</v>
      </c>
      <c r="K44" s="46">
        <f ca="1">IFERROR(__xludf.DUMMYFUNCTION("""COMPUTED_VALUE"""),1)</f>
        <v>1</v>
      </c>
      <c r="L44" s="46">
        <f ca="1">IFERROR(__xludf.DUMMYFUNCTION("""COMPUTED_VALUE"""),0)</f>
        <v>0</v>
      </c>
      <c r="M44" s="46">
        <f ca="1">IFERROR(__xludf.DUMMYFUNCTION("""COMPUTED_VALUE"""),0)</f>
        <v>0</v>
      </c>
      <c r="N44" s="46">
        <f ca="1">IFERROR(__xludf.DUMMYFUNCTION("""COMPUTED_VALUE"""),1)</f>
        <v>1</v>
      </c>
      <c r="O44" s="50">
        <f t="shared" ca="1" si="1"/>
        <v>9</v>
      </c>
    </row>
    <row r="45" spans="1:15" ht="12.75">
      <c r="A45" s="50" t="str">
        <f ca="1">IFERROR(__xludf.DUMMYFUNCTION("""COMPUTED_VALUE"""),"CD10")</f>
        <v>CD10</v>
      </c>
      <c r="B45" s="77" t="str">
        <f ca="1">IFERROR(__xludf.DUMMYFUNCTION("""COMPUTED_VALUE"""),"06100017")</f>
        <v>06100017</v>
      </c>
      <c r="C45" s="48" t="str">
        <f ca="1">IFERROR(__xludf.DUMMYFUNCTION("""COMPUTED_VALUE"""),"LA CHAPELLE ST LUC AJFB")</f>
        <v>LA CHAPELLE ST LUC AJFB</v>
      </c>
      <c r="D45" s="46">
        <f ca="1">IFERROR(__xludf.DUMMYFUNCTION("""COMPUTED_VALUE"""),0)</f>
        <v>0</v>
      </c>
      <c r="E45" s="46">
        <f ca="1">IFERROR(__xludf.DUMMYFUNCTION("""COMPUTED_VALUE"""),0)</f>
        <v>0</v>
      </c>
      <c r="F45" s="46">
        <f ca="1">IFERROR(__xludf.DUMMYFUNCTION("""COMPUTED_VALUE"""),0)</f>
        <v>0</v>
      </c>
      <c r="G45" s="46">
        <f ca="1">IFERROR(__xludf.DUMMYFUNCTION("""COMPUTED_VALUE"""),0)</f>
        <v>0</v>
      </c>
      <c r="H45" s="46">
        <f ca="1">IFERROR(__xludf.DUMMYFUNCTION("""COMPUTED_VALUE"""),0)</f>
        <v>0</v>
      </c>
      <c r="I45" s="46">
        <f ca="1">IFERROR(__xludf.DUMMYFUNCTION("""COMPUTED_VALUE"""),0)</f>
        <v>0</v>
      </c>
      <c r="J45" s="46">
        <f ca="1">IFERROR(__xludf.DUMMYFUNCTION("""COMPUTED_VALUE"""),0)</f>
        <v>0</v>
      </c>
      <c r="K45" s="46">
        <f ca="1">IFERROR(__xludf.DUMMYFUNCTION("""COMPUTED_VALUE"""),0)</f>
        <v>0</v>
      </c>
      <c r="L45" s="46">
        <f ca="1">IFERROR(__xludf.DUMMYFUNCTION("""COMPUTED_VALUE"""),0)</f>
        <v>0</v>
      </c>
      <c r="M45" s="46">
        <f ca="1">IFERROR(__xludf.DUMMYFUNCTION("""COMPUTED_VALUE"""),0)</f>
        <v>0</v>
      </c>
      <c r="N45" s="46">
        <f ca="1">IFERROR(__xludf.DUMMYFUNCTION("""COMPUTED_VALUE"""),0)</f>
        <v>0</v>
      </c>
      <c r="O45" s="50">
        <f t="shared" ca="1" si="1"/>
        <v>0</v>
      </c>
    </row>
    <row r="46" spans="1:15" ht="12.75">
      <c r="A46" s="50" t="str">
        <f ca="1">IFERROR(__xludf.DUMMYFUNCTION("""COMPUTED_VALUE"""),"CD10")</f>
        <v>CD10</v>
      </c>
      <c r="B46" s="77" t="str">
        <f ca="1">IFERROR(__xludf.DUMMYFUNCTION("""COMPUTED_VALUE"""),"06100021")</f>
        <v>06100021</v>
      </c>
      <c r="C46" s="48" t="str">
        <f ca="1">IFERROR(__xludf.DUMMYFUNCTION("""COMPUTED_VALUE"""),"ARCIS ASATT")</f>
        <v>ARCIS ASATT</v>
      </c>
      <c r="D46" s="46">
        <f ca="1">IFERROR(__xludf.DUMMYFUNCTION("""COMPUTED_VALUE"""),0)</f>
        <v>0</v>
      </c>
      <c r="E46" s="46">
        <f ca="1">IFERROR(__xludf.DUMMYFUNCTION("""COMPUTED_VALUE"""),0)</f>
        <v>0</v>
      </c>
      <c r="F46" s="46">
        <f ca="1">IFERROR(__xludf.DUMMYFUNCTION("""COMPUTED_VALUE"""),3)</f>
        <v>3</v>
      </c>
      <c r="G46" s="46">
        <f ca="1">IFERROR(__xludf.DUMMYFUNCTION("""COMPUTED_VALUE"""),0)</f>
        <v>0</v>
      </c>
      <c r="H46" s="46">
        <f ca="1">IFERROR(__xludf.DUMMYFUNCTION("""COMPUTED_VALUE"""),0)</f>
        <v>0</v>
      </c>
      <c r="I46" s="46">
        <f ca="1">IFERROR(__xludf.DUMMYFUNCTION("""COMPUTED_VALUE"""),3)</f>
        <v>3</v>
      </c>
      <c r="J46" s="46">
        <f ca="1">IFERROR(__xludf.DUMMYFUNCTION("""COMPUTED_VALUE"""),0)</f>
        <v>0</v>
      </c>
      <c r="K46" s="46">
        <f ca="1">IFERROR(__xludf.DUMMYFUNCTION("""COMPUTED_VALUE"""),0)</f>
        <v>0</v>
      </c>
      <c r="L46" s="46">
        <f ca="1">IFERROR(__xludf.DUMMYFUNCTION("""COMPUTED_VALUE"""),0)</f>
        <v>0</v>
      </c>
      <c r="M46" s="46">
        <f ca="1">IFERROR(__xludf.DUMMYFUNCTION("""COMPUTED_VALUE"""),0)</f>
        <v>0</v>
      </c>
      <c r="N46" s="46">
        <f ca="1">IFERROR(__xludf.DUMMYFUNCTION("""COMPUTED_VALUE"""),0)</f>
        <v>0</v>
      </c>
      <c r="O46" s="50">
        <f t="shared" ca="1" si="1"/>
        <v>6</v>
      </c>
    </row>
    <row r="47" spans="1:15" ht="12.75">
      <c r="A47" s="50" t="str">
        <f ca="1">IFERROR(__xludf.DUMMYFUNCTION("""COMPUTED_VALUE"""),"CD10")</f>
        <v>CD10</v>
      </c>
      <c r="B47" s="77" t="str">
        <f ca="1">IFERROR(__xludf.DUMMYFUNCTION("""COMPUTED_VALUE"""),"06100032")</f>
        <v>06100032</v>
      </c>
      <c r="C47" s="48" t="str">
        <f ca="1">IFERROR(__xludf.DUMMYFUNCTION("""COMPUTED_VALUE"""),"SAINT ANDRE ASTT Dryate")</f>
        <v>SAINT ANDRE ASTT Dryate</v>
      </c>
      <c r="D47" s="46">
        <f ca="1">IFERROR(__xludf.DUMMYFUNCTION("""COMPUTED_VALUE"""),0)</f>
        <v>0</v>
      </c>
      <c r="E47" s="46">
        <f ca="1">IFERROR(__xludf.DUMMYFUNCTION("""COMPUTED_VALUE"""),0)</f>
        <v>0</v>
      </c>
      <c r="F47" s="46">
        <f ca="1">IFERROR(__xludf.DUMMYFUNCTION("""COMPUTED_VALUE"""),2)</f>
        <v>2</v>
      </c>
      <c r="G47" s="46">
        <f ca="1">IFERROR(__xludf.DUMMYFUNCTION("""COMPUTED_VALUE"""),0)</f>
        <v>0</v>
      </c>
      <c r="H47" s="46">
        <f ca="1">IFERROR(__xludf.DUMMYFUNCTION("""COMPUTED_VALUE"""),0)</f>
        <v>0</v>
      </c>
      <c r="I47" s="46">
        <f ca="1">IFERROR(__xludf.DUMMYFUNCTION("""COMPUTED_VALUE"""),2)</f>
        <v>2</v>
      </c>
      <c r="J47" s="46">
        <f ca="1">IFERROR(__xludf.DUMMYFUNCTION("""COMPUTED_VALUE"""),0)</f>
        <v>0</v>
      </c>
      <c r="K47" s="46">
        <f ca="1">IFERROR(__xludf.DUMMYFUNCTION("""COMPUTED_VALUE"""),0)</f>
        <v>0</v>
      </c>
      <c r="L47" s="46">
        <f ca="1">IFERROR(__xludf.DUMMYFUNCTION("""COMPUTED_VALUE"""),0)</f>
        <v>0</v>
      </c>
      <c r="M47" s="46">
        <f ca="1">IFERROR(__xludf.DUMMYFUNCTION("""COMPUTED_VALUE"""),0)</f>
        <v>0</v>
      </c>
      <c r="N47" s="46">
        <f ca="1">IFERROR(__xludf.DUMMYFUNCTION("""COMPUTED_VALUE"""),0)</f>
        <v>0</v>
      </c>
      <c r="O47" s="50">
        <f t="shared" ca="1" si="1"/>
        <v>4</v>
      </c>
    </row>
    <row r="48" spans="1:15" ht="12.75">
      <c r="A48" s="50" t="str">
        <f ca="1">IFERROR(__xludf.DUMMYFUNCTION("""COMPUTED_VALUE"""),"CD10")</f>
        <v>CD10</v>
      </c>
      <c r="B48" s="77" t="str">
        <f ca="1">IFERROR(__xludf.DUMMYFUNCTION("""COMPUTED_VALUE"""),"06100035")</f>
        <v>06100035</v>
      </c>
      <c r="C48" s="48" t="str">
        <f ca="1">IFERROR(__xludf.DUMMYFUNCTION("""COMPUTED_VALUE"""),"ST MESMIN-VALLANT TT")</f>
        <v>ST MESMIN-VALLANT TT</v>
      </c>
      <c r="D48" s="46">
        <f ca="1">IFERROR(__xludf.DUMMYFUNCTION("""COMPUTED_VALUE"""),0)</f>
        <v>0</v>
      </c>
      <c r="E48" s="46">
        <f ca="1">IFERROR(__xludf.DUMMYFUNCTION("""COMPUTED_VALUE"""),0)</f>
        <v>0</v>
      </c>
      <c r="F48" s="46">
        <f ca="1">IFERROR(__xludf.DUMMYFUNCTION("""COMPUTED_VALUE"""),1)</f>
        <v>1</v>
      </c>
      <c r="G48" s="46">
        <f ca="1">IFERROR(__xludf.DUMMYFUNCTION("""COMPUTED_VALUE"""),0)</f>
        <v>0</v>
      </c>
      <c r="H48" s="46">
        <f ca="1">IFERROR(__xludf.DUMMYFUNCTION("""COMPUTED_VALUE"""),0)</f>
        <v>0</v>
      </c>
      <c r="I48" s="46">
        <f ca="1">IFERROR(__xludf.DUMMYFUNCTION("""COMPUTED_VALUE"""),1)</f>
        <v>1</v>
      </c>
      <c r="J48" s="46">
        <f ca="1">IFERROR(__xludf.DUMMYFUNCTION("""COMPUTED_VALUE"""),0)</f>
        <v>0</v>
      </c>
      <c r="K48" s="46">
        <f ca="1">IFERROR(__xludf.DUMMYFUNCTION("""COMPUTED_VALUE"""),0)</f>
        <v>0</v>
      </c>
      <c r="L48" s="46">
        <f ca="1">IFERROR(__xludf.DUMMYFUNCTION("""COMPUTED_VALUE"""),0)</f>
        <v>0</v>
      </c>
      <c r="M48" s="46">
        <f ca="1">IFERROR(__xludf.DUMMYFUNCTION("""COMPUTED_VALUE"""),0)</f>
        <v>0</v>
      </c>
      <c r="N48" s="46">
        <f ca="1">IFERROR(__xludf.DUMMYFUNCTION("""COMPUTED_VALUE"""),0)</f>
        <v>0</v>
      </c>
      <c r="O48" s="50">
        <f t="shared" ca="1" si="1"/>
        <v>2</v>
      </c>
    </row>
    <row r="49" spans="1:15" ht="12.75">
      <c r="A49" s="50" t="str">
        <f ca="1">IFERROR(__xludf.DUMMYFUNCTION("""COMPUTED_VALUE"""),"CD10")</f>
        <v>CD10</v>
      </c>
      <c r="B49" s="77" t="str">
        <f ca="1">IFERROR(__xludf.DUMMYFUNCTION("""COMPUTED_VALUE"""),"06100040")</f>
        <v>06100040</v>
      </c>
      <c r="C49" s="48" t="str">
        <f ca="1">IFERROR(__xludf.DUMMYFUNCTION("""COMPUTED_VALUE"""),"ROMILLY-VILLENAUXE CAP")</f>
        <v>ROMILLY-VILLENAUXE CAP</v>
      </c>
      <c r="D49" s="46">
        <f ca="1">IFERROR(__xludf.DUMMYFUNCTION("""COMPUTED_VALUE"""),1)</f>
        <v>1</v>
      </c>
      <c r="E49" s="46">
        <f ca="1">IFERROR(__xludf.DUMMYFUNCTION("""COMPUTED_VALUE"""),0)</f>
        <v>0</v>
      </c>
      <c r="F49" s="46">
        <f ca="1">IFERROR(__xludf.DUMMYFUNCTION("""COMPUTED_VALUE"""),3)</f>
        <v>3</v>
      </c>
      <c r="G49" s="46">
        <f ca="1">IFERROR(__xludf.DUMMYFUNCTION("""COMPUTED_VALUE"""),0)</f>
        <v>0</v>
      </c>
      <c r="H49" s="46">
        <f ca="1">IFERROR(__xludf.DUMMYFUNCTION("""COMPUTED_VALUE"""),0)</f>
        <v>0</v>
      </c>
      <c r="I49" s="46">
        <f ca="1">IFERROR(__xludf.DUMMYFUNCTION("""COMPUTED_VALUE"""),3)</f>
        <v>3</v>
      </c>
      <c r="J49" s="46">
        <f ca="1">IFERROR(__xludf.DUMMYFUNCTION("""COMPUTED_VALUE"""),0)</f>
        <v>0</v>
      </c>
      <c r="K49" s="46">
        <f ca="1">IFERROR(__xludf.DUMMYFUNCTION("""COMPUTED_VALUE"""),0)</f>
        <v>0</v>
      </c>
      <c r="L49" s="46">
        <f ca="1">IFERROR(__xludf.DUMMYFUNCTION("""COMPUTED_VALUE"""),0)</f>
        <v>0</v>
      </c>
      <c r="M49" s="46">
        <f ca="1">IFERROR(__xludf.DUMMYFUNCTION("""COMPUTED_VALUE"""),0)</f>
        <v>0</v>
      </c>
      <c r="N49" s="46">
        <f ca="1">IFERROR(__xludf.DUMMYFUNCTION("""COMPUTED_VALUE"""),0)</f>
        <v>0</v>
      </c>
      <c r="O49" s="50">
        <f t="shared" ca="1" si="1"/>
        <v>7</v>
      </c>
    </row>
    <row r="50" spans="1:15" ht="12.75">
      <c r="A50" s="50" t="str">
        <f ca="1">IFERROR(__xludf.DUMMYFUNCTION("""COMPUTED_VALUE"""),"CD10")</f>
        <v>CD10</v>
      </c>
      <c r="B50" s="77" t="str">
        <f ca="1">IFERROR(__xludf.DUMMYFUNCTION("""COMPUTED_VALUE"""),"06100041")</f>
        <v>06100041</v>
      </c>
      <c r="C50" s="48" t="str">
        <f ca="1">IFERROR(__xludf.DUMMYFUNCTION("""COMPUTED_VALUE"""),"AIX EN OTHE SDTDT")</f>
        <v>AIX EN OTHE SDTDT</v>
      </c>
      <c r="D50" s="46">
        <f ca="1">IFERROR(__xludf.DUMMYFUNCTION("""COMPUTED_VALUE"""),1)</f>
        <v>1</v>
      </c>
      <c r="E50" s="46">
        <f ca="1">IFERROR(__xludf.DUMMYFUNCTION("""COMPUTED_VALUE"""),0)</f>
        <v>0</v>
      </c>
      <c r="F50" s="46">
        <f ca="1">IFERROR(__xludf.DUMMYFUNCTION("""COMPUTED_VALUE"""),2)</f>
        <v>2</v>
      </c>
      <c r="G50" s="46">
        <f ca="1">IFERROR(__xludf.DUMMYFUNCTION("""COMPUTED_VALUE"""),0)</f>
        <v>0</v>
      </c>
      <c r="H50" s="46">
        <f ca="1">IFERROR(__xludf.DUMMYFUNCTION("""COMPUTED_VALUE"""),0)</f>
        <v>0</v>
      </c>
      <c r="I50" s="46">
        <f ca="1">IFERROR(__xludf.DUMMYFUNCTION("""COMPUTED_VALUE"""),1)</f>
        <v>1</v>
      </c>
      <c r="J50" s="46">
        <f ca="1">IFERROR(__xludf.DUMMYFUNCTION("""COMPUTED_VALUE"""),0)</f>
        <v>0</v>
      </c>
      <c r="K50" s="46">
        <f ca="1">IFERROR(__xludf.DUMMYFUNCTION("""COMPUTED_VALUE"""),0)</f>
        <v>0</v>
      </c>
      <c r="L50" s="46">
        <f ca="1">IFERROR(__xludf.DUMMYFUNCTION("""COMPUTED_VALUE"""),0)</f>
        <v>0</v>
      </c>
      <c r="M50" s="46">
        <f ca="1">IFERROR(__xludf.DUMMYFUNCTION("""COMPUTED_VALUE"""),0)</f>
        <v>0</v>
      </c>
      <c r="N50" s="46">
        <f ca="1">IFERROR(__xludf.DUMMYFUNCTION("""COMPUTED_VALUE"""),0)</f>
        <v>0</v>
      </c>
      <c r="O50" s="50">
        <f t="shared" ca="1" si="1"/>
        <v>4</v>
      </c>
    </row>
    <row r="51" spans="1:15" ht="12.75">
      <c r="A51" s="50" t="str">
        <f ca="1">IFERROR(__xludf.DUMMYFUNCTION("""COMPUTED_VALUE"""),"CD10")</f>
        <v>CD10</v>
      </c>
      <c r="B51" s="77" t="str">
        <f ca="1">IFERROR(__xludf.DUMMYFUNCTION("""COMPUTED_VALUE"""),"06100046")</f>
        <v>06100046</v>
      </c>
      <c r="C51" s="48" t="str">
        <f ca="1">IFERROR(__xludf.DUMMYFUNCTION("""COMPUTED_VALUE"""),"BRIENNE CP")</f>
        <v>BRIENNE CP</v>
      </c>
      <c r="D51" s="46">
        <f ca="1">IFERROR(__xludf.DUMMYFUNCTION("""COMPUTED_VALUE"""),0)</f>
        <v>0</v>
      </c>
      <c r="E51" s="46">
        <f ca="1">IFERROR(__xludf.DUMMYFUNCTION("""COMPUTED_VALUE"""),0)</f>
        <v>0</v>
      </c>
      <c r="F51" s="46">
        <f ca="1">IFERROR(__xludf.DUMMYFUNCTION("""COMPUTED_VALUE"""),0)</f>
        <v>0</v>
      </c>
      <c r="G51" s="46">
        <f ca="1">IFERROR(__xludf.DUMMYFUNCTION("""COMPUTED_VALUE"""),0)</f>
        <v>0</v>
      </c>
      <c r="H51" s="46">
        <f ca="1">IFERROR(__xludf.DUMMYFUNCTION("""COMPUTED_VALUE"""),0)</f>
        <v>0</v>
      </c>
      <c r="I51" s="46">
        <f ca="1">IFERROR(__xludf.DUMMYFUNCTION("""COMPUTED_VALUE"""),0)</f>
        <v>0</v>
      </c>
      <c r="J51" s="46">
        <f ca="1">IFERROR(__xludf.DUMMYFUNCTION("""COMPUTED_VALUE"""),0)</f>
        <v>0</v>
      </c>
      <c r="K51" s="46">
        <f ca="1">IFERROR(__xludf.DUMMYFUNCTION("""COMPUTED_VALUE"""),0)</f>
        <v>0</v>
      </c>
      <c r="L51" s="46">
        <f ca="1">IFERROR(__xludf.DUMMYFUNCTION("""COMPUTED_VALUE"""),0)</f>
        <v>0</v>
      </c>
      <c r="M51" s="46">
        <f ca="1">IFERROR(__xludf.DUMMYFUNCTION("""COMPUTED_VALUE"""),0)</f>
        <v>0</v>
      </c>
      <c r="N51" s="46">
        <f ca="1">IFERROR(__xludf.DUMMYFUNCTION("""COMPUTED_VALUE"""),0)</f>
        <v>0</v>
      </c>
      <c r="O51" s="50">
        <f t="shared" ca="1" si="1"/>
        <v>0</v>
      </c>
    </row>
    <row r="52" spans="1:15" ht="12.75">
      <c r="A52" s="50" t="str">
        <f ca="1">IFERROR(__xludf.DUMMYFUNCTION("""COMPUTED_VALUE"""),"CD10")</f>
        <v>CD10</v>
      </c>
      <c r="B52" s="77" t="str">
        <f ca="1">IFERROR(__xludf.DUMMYFUNCTION("""COMPUTED_VALUE"""),"06100048")</f>
        <v>06100048</v>
      </c>
      <c r="C52" s="48" t="str">
        <f ca="1">IFERROR(__xludf.DUMMYFUNCTION("""COMPUTED_VALUE"""),"BAR SUR AUBE Tennis de Table")</f>
        <v>BAR SUR AUBE Tennis de Table</v>
      </c>
      <c r="D52" s="46">
        <f ca="1">IFERROR(__xludf.DUMMYFUNCTION("""COMPUTED_VALUE"""),1)</f>
        <v>1</v>
      </c>
      <c r="E52" s="46">
        <f ca="1">IFERROR(__xludf.DUMMYFUNCTION("""COMPUTED_VALUE"""),0)</f>
        <v>0</v>
      </c>
      <c r="F52" s="46">
        <f ca="1">IFERROR(__xludf.DUMMYFUNCTION("""COMPUTED_VALUE"""),1)</f>
        <v>1</v>
      </c>
      <c r="G52" s="46">
        <f ca="1">IFERROR(__xludf.DUMMYFUNCTION("""COMPUTED_VALUE"""),1)</f>
        <v>1</v>
      </c>
      <c r="H52" s="46">
        <f ca="1">IFERROR(__xludf.DUMMYFUNCTION("""COMPUTED_VALUE"""),0)</f>
        <v>0</v>
      </c>
      <c r="I52" s="46">
        <f ca="1">IFERROR(__xludf.DUMMYFUNCTION("""COMPUTED_VALUE"""),1)</f>
        <v>1</v>
      </c>
      <c r="J52" s="46">
        <f ca="1">IFERROR(__xludf.DUMMYFUNCTION("""COMPUTED_VALUE"""),0)</f>
        <v>0</v>
      </c>
      <c r="K52" s="46">
        <f ca="1">IFERROR(__xludf.DUMMYFUNCTION("""COMPUTED_VALUE"""),1)</f>
        <v>1</v>
      </c>
      <c r="L52" s="46">
        <f ca="1">IFERROR(__xludf.DUMMYFUNCTION("""COMPUTED_VALUE"""),0)</f>
        <v>0</v>
      </c>
      <c r="M52" s="46">
        <f ca="1">IFERROR(__xludf.DUMMYFUNCTION("""COMPUTED_VALUE"""),0)</f>
        <v>0</v>
      </c>
      <c r="N52" s="46">
        <f ca="1">IFERROR(__xludf.DUMMYFUNCTION("""COMPUTED_VALUE"""),0)</f>
        <v>0</v>
      </c>
      <c r="O52" s="50">
        <f t="shared" ca="1" si="1"/>
        <v>5</v>
      </c>
    </row>
    <row r="53" spans="1:15" ht="12.75">
      <c r="A53" s="50" t="str">
        <f ca="1">IFERROR(__xludf.DUMMYFUNCTION("""COMPUTED_VALUE"""),"CD51")</f>
        <v>CD51</v>
      </c>
      <c r="B53" s="77" t="str">
        <f ca="1">IFERROR(__xludf.DUMMYFUNCTION("""COMPUTED_VALUE"""),"06510001")</f>
        <v>06510001</v>
      </c>
      <c r="C53" s="48" t="str">
        <f ca="1">IFERROR(__xludf.DUMMYFUNCTION("""COMPUTED_VALUE"""),"REIMS OLYMPIQUE TT")</f>
        <v>REIMS OLYMPIQUE TT</v>
      </c>
      <c r="D53" s="46">
        <f ca="1">IFERROR(__xludf.DUMMYFUNCTION("""COMPUTED_VALUE"""),3)</f>
        <v>3</v>
      </c>
      <c r="E53" s="46">
        <f ca="1">IFERROR(__xludf.DUMMYFUNCTION("""COMPUTED_VALUE"""),0)</f>
        <v>0</v>
      </c>
      <c r="F53" s="46">
        <f ca="1">IFERROR(__xludf.DUMMYFUNCTION("""COMPUTED_VALUE"""),5)</f>
        <v>5</v>
      </c>
      <c r="G53" s="46">
        <f ca="1">IFERROR(__xludf.DUMMYFUNCTION("""COMPUTED_VALUE"""),1)</f>
        <v>1</v>
      </c>
      <c r="H53" s="46">
        <f ca="1">IFERROR(__xludf.DUMMYFUNCTION("""COMPUTED_VALUE"""),0)</f>
        <v>0</v>
      </c>
      <c r="I53" s="46">
        <f ca="1">IFERROR(__xludf.DUMMYFUNCTION("""COMPUTED_VALUE"""),2)</f>
        <v>2</v>
      </c>
      <c r="J53" s="46">
        <f ca="1">IFERROR(__xludf.DUMMYFUNCTION("""COMPUTED_VALUE"""),1)</f>
        <v>1</v>
      </c>
      <c r="K53" s="46">
        <f ca="1">IFERROR(__xludf.DUMMYFUNCTION("""COMPUTED_VALUE"""),1)</f>
        <v>1</v>
      </c>
      <c r="L53" s="46">
        <f ca="1">IFERROR(__xludf.DUMMYFUNCTION("""COMPUTED_VALUE"""),0)</f>
        <v>0</v>
      </c>
      <c r="M53" s="46">
        <f ca="1">IFERROR(__xludf.DUMMYFUNCTION("""COMPUTED_VALUE"""),0)</f>
        <v>0</v>
      </c>
      <c r="N53" s="46">
        <f ca="1">IFERROR(__xludf.DUMMYFUNCTION("""COMPUTED_VALUE"""),0)</f>
        <v>0</v>
      </c>
      <c r="O53" s="50">
        <f t="shared" ca="1" si="1"/>
        <v>13</v>
      </c>
    </row>
    <row r="54" spans="1:15" ht="12.75">
      <c r="A54" s="50" t="str">
        <f ca="1">IFERROR(__xludf.DUMMYFUNCTION("""COMPUTED_VALUE"""),"CD51")</f>
        <v>CD51</v>
      </c>
      <c r="B54" s="77" t="str">
        <f ca="1">IFERROR(__xludf.DUMMYFUNCTION("""COMPUTED_VALUE"""),"06510002")</f>
        <v>06510002</v>
      </c>
      <c r="C54" s="48" t="str">
        <f ca="1">IFERROR(__xludf.DUMMYFUNCTION("""COMPUTED_VALUE"""),"COURTISOLS VOLONTAIRE")</f>
        <v>COURTISOLS VOLONTAIRE</v>
      </c>
      <c r="D54" s="46">
        <f ca="1">IFERROR(__xludf.DUMMYFUNCTION("""COMPUTED_VALUE"""),0)</f>
        <v>0</v>
      </c>
      <c r="E54" s="46">
        <f ca="1">IFERROR(__xludf.DUMMYFUNCTION("""COMPUTED_VALUE"""),0)</f>
        <v>0</v>
      </c>
      <c r="F54" s="46">
        <f ca="1">IFERROR(__xludf.DUMMYFUNCTION("""COMPUTED_VALUE"""),0)</f>
        <v>0</v>
      </c>
      <c r="G54" s="46">
        <f ca="1">IFERROR(__xludf.DUMMYFUNCTION("""COMPUTED_VALUE"""),0)</f>
        <v>0</v>
      </c>
      <c r="H54" s="46">
        <f ca="1">IFERROR(__xludf.DUMMYFUNCTION("""COMPUTED_VALUE"""),0)</f>
        <v>0</v>
      </c>
      <c r="I54" s="46">
        <f ca="1">IFERROR(__xludf.DUMMYFUNCTION("""COMPUTED_VALUE"""),0)</f>
        <v>0</v>
      </c>
      <c r="J54" s="46">
        <f ca="1">IFERROR(__xludf.DUMMYFUNCTION("""COMPUTED_VALUE"""),0)</f>
        <v>0</v>
      </c>
      <c r="K54" s="46">
        <f ca="1">IFERROR(__xludf.DUMMYFUNCTION("""COMPUTED_VALUE"""),0)</f>
        <v>0</v>
      </c>
      <c r="L54" s="46">
        <f ca="1">IFERROR(__xludf.DUMMYFUNCTION("""COMPUTED_VALUE"""),0)</f>
        <v>0</v>
      </c>
      <c r="M54" s="46">
        <f ca="1">IFERROR(__xludf.DUMMYFUNCTION("""COMPUTED_VALUE"""),0)</f>
        <v>0</v>
      </c>
      <c r="N54" s="46">
        <f ca="1">IFERROR(__xludf.DUMMYFUNCTION("""COMPUTED_VALUE"""),0)</f>
        <v>0</v>
      </c>
      <c r="O54" s="50">
        <f t="shared" ca="1" si="1"/>
        <v>0</v>
      </c>
    </row>
    <row r="55" spans="1:15" ht="12.75">
      <c r="A55" s="50" t="str">
        <f ca="1">IFERROR(__xludf.DUMMYFUNCTION("""COMPUTED_VALUE"""),"CD51")</f>
        <v>CD51</v>
      </c>
      <c r="B55" s="77" t="str">
        <f ca="1">IFERROR(__xludf.DUMMYFUNCTION("""COMPUTED_VALUE"""),"06510004")</f>
        <v>06510004</v>
      </c>
      <c r="C55" s="48" t="str">
        <f ca="1">IFERROR(__xludf.DUMMYFUNCTION("""COMPUTED_VALUE"""),"CHALONS ASPTT")</f>
        <v>CHALONS ASPTT</v>
      </c>
      <c r="D55" s="46">
        <f ca="1">IFERROR(__xludf.DUMMYFUNCTION("""COMPUTED_VALUE"""),0)</f>
        <v>0</v>
      </c>
      <c r="E55" s="46">
        <f ca="1">IFERROR(__xludf.DUMMYFUNCTION("""COMPUTED_VALUE"""),0)</f>
        <v>0</v>
      </c>
      <c r="F55" s="46">
        <f ca="1">IFERROR(__xludf.DUMMYFUNCTION("""COMPUTED_VALUE"""),3)</f>
        <v>3</v>
      </c>
      <c r="G55" s="46">
        <f ca="1">IFERROR(__xludf.DUMMYFUNCTION("""COMPUTED_VALUE"""),0)</f>
        <v>0</v>
      </c>
      <c r="H55" s="46">
        <f ca="1">IFERROR(__xludf.DUMMYFUNCTION("""COMPUTED_VALUE"""),0)</f>
        <v>0</v>
      </c>
      <c r="I55" s="46">
        <f ca="1">IFERROR(__xludf.DUMMYFUNCTION("""COMPUTED_VALUE"""),2)</f>
        <v>2</v>
      </c>
      <c r="J55" s="46">
        <f ca="1">IFERROR(__xludf.DUMMYFUNCTION("""COMPUTED_VALUE"""),0)</f>
        <v>0</v>
      </c>
      <c r="K55" s="46">
        <f ca="1">IFERROR(__xludf.DUMMYFUNCTION("""COMPUTED_VALUE"""),0)</f>
        <v>0</v>
      </c>
      <c r="L55" s="46">
        <f ca="1">IFERROR(__xludf.DUMMYFUNCTION("""COMPUTED_VALUE"""),0)</f>
        <v>0</v>
      </c>
      <c r="M55" s="46">
        <f ca="1">IFERROR(__xludf.DUMMYFUNCTION("""COMPUTED_VALUE"""),0)</f>
        <v>0</v>
      </c>
      <c r="N55" s="46">
        <f ca="1">IFERROR(__xludf.DUMMYFUNCTION("""COMPUTED_VALUE"""),0)</f>
        <v>0</v>
      </c>
      <c r="O55" s="50">
        <f t="shared" ca="1" si="1"/>
        <v>5</v>
      </c>
    </row>
    <row r="56" spans="1:15" ht="12.75">
      <c r="A56" s="50" t="str">
        <f ca="1">IFERROR(__xludf.DUMMYFUNCTION("""COMPUTED_VALUE"""),"CD51")</f>
        <v>CD51</v>
      </c>
      <c r="B56" s="77" t="str">
        <f ca="1">IFERROR(__xludf.DUMMYFUNCTION("""COMPUTED_VALUE"""),"06510008")</f>
        <v>06510008</v>
      </c>
      <c r="C56" s="48" t="str">
        <f ca="1">IFERROR(__xludf.DUMMYFUNCTION("""COMPUTED_VALUE"""),"TOURS SUR MARNE TENNIS DE TABLE")</f>
        <v>TOURS SUR MARNE TENNIS DE TABLE</v>
      </c>
      <c r="D56" s="46">
        <f ca="1">IFERROR(__xludf.DUMMYFUNCTION("""COMPUTED_VALUE"""),0)</f>
        <v>0</v>
      </c>
      <c r="E56" s="46">
        <f ca="1">IFERROR(__xludf.DUMMYFUNCTION("""COMPUTED_VALUE"""),0)</f>
        <v>0</v>
      </c>
      <c r="F56" s="46">
        <f ca="1">IFERROR(__xludf.DUMMYFUNCTION("""COMPUTED_VALUE"""),0)</f>
        <v>0</v>
      </c>
      <c r="G56" s="46">
        <f ca="1">IFERROR(__xludf.DUMMYFUNCTION("""COMPUTED_VALUE"""),0)</f>
        <v>0</v>
      </c>
      <c r="H56" s="46">
        <f ca="1">IFERROR(__xludf.DUMMYFUNCTION("""COMPUTED_VALUE"""),0)</f>
        <v>0</v>
      </c>
      <c r="I56" s="46">
        <f ca="1">IFERROR(__xludf.DUMMYFUNCTION("""COMPUTED_VALUE"""),0)</f>
        <v>0</v>
      </c>
      <c r="J56" s="46">
        <f ca="1">IFERROR(__xludf.DUMMYFUNCTION("""COMPUTED_VALUE"""),0)</f>
        <v>0</v>
      </c>
      <c r="K56" s="46">
        <f ca="1">IFERROR(__xludf.DUMMYFUNCTION("""COMPUTED_VALUE"""),0)</f>
        <v>0</v>
      </c>
      <c r="L56" s="46">
        <f ca="1">IFERROR(__xludf.DUMMYFUNCTION("""COMPUTED_VALUE"""),0)</f>
        <v>0</v>
      </c>
      <c r="M56" s="46">
        <f ca="1">IFERROR(__xludf.DUMMYFUNCTION("""COMPUTED_VALUE"""),0)</f>
        <v>0</v>
      </c>
      <c r="N56" s="46">
        <f ca="1">IFERROR(__xludf.DUMMYFUNCTION("""COMPUTED_VALUE"""),0)</f>
        <v>0</v>
      </c>
      <c r="O56" s="50">
        <f t="shared" ca="1" si="1"/>
        <v>0</v>
      </c>
    </row>
    <row r="57" spans="1:15" ht="12.75">
      <c r="A57" s="50" t="str">
        <f ca="1">IFERROR(__xludf.DUMMYFUNCTION("""COMPUTED_VALUE"""),"CD51")</f>
        <v>CD51</v>
      </c>
      <c r="B57" s="77" t="str">
        <f ca="1">IFERROR(__xludf.DUMMYFUNCTION("""COMPUTED_VALUE"""),"06510009")</f>
        <v>06510009</v>
      </c>
      <c r="C57" s="48" t="str">
        <f ca="1">IFERROR(__xludf.DUMMYFUNCTION("""COMPUTED_VALUE"""),"FISMES ARDRE VESLE US")</f>
        <v>FISMES ARDRE VESLE US</v>
      </c>
      <c r="D57" s="46">
        <f ca="1">IFERROR(__xludf.DUMMYFUNCTION("""COMPUTED_VALUE"""),0)</f>
        <v>0</v>
      </c>
      <c r="E57" s="46">
        <f ca="1">IFERROR(__xludf.DUMMYFUNCTION("""COMPUTED_VALUE"""),0)</f>
        <v>0</v>
      </c>
      <c r="F57" s="46">
        <f ca="1">IFERROR(__xludf.DUMMYFUNCTION("""COMPUTED_VALUE"""),4)</f>
        <v>4</v>
      </c>
      <c r="G57" s="46">
        <f ca="1">IFERROR(__xludf.DUMMYFUNCTION("""COMPUTED_VALUE"""),0)</f>
        <v>0</v>
      </c>
      <c r="H57" s="46">
        <f ca="1">IFERROR(__xludf.DUMMYFUNCTION("""COMPUTED_VALUE"""),0)</f>
        <v>0</v>
      </c>
      <c r="I57" s="46">
        <f ca="1">IFERROR(__xludf.DUMMYFUNCTION("""COMPUTED_VALUE"""),0)</f>
        <v>0</v>
      </c>
      <c r="J57" s="46">
        <f ca="1">IFERROR(__xludf.DUMMYFUNCTION("""COMPUTED_VALUE"""),0)</f>
        <v>0</v>
      </c>
      <c r="K57" s="46">
        <f ca="1">IFERROR(__xludf.DUMMYFUNCTION("""COMPUTED_VALUE"""),0)</f>
        <v>0</v>
      </c>
      <c r="L57" s="46">
        <f ca="1">IFERROR(__xludf.DUMMYFUNCTION("""COMPUTED_VALUE"""),0)</f>
        <v>0</v>
      </c>
      <c r="M57" s="46">
        <f ca="1">IFERROR(__xludf.DUMMYFUNCTION("""COMPUTED_VALUE"""),0)</f>
        <v>0</v>
      </c>
      <c r="N57" s="46">
        <f ca="1">IFERROR(__xludf.DUMMYFUNCTION("""COMPUTED_VALUE"""),0)</f>
        <v>0</v>
      </c>
      <c r="O57" s="50">
        <f t="shared" ca="1" si="1"/>
        <v>4</v>
      </c>
    </row>
    <row r="58" spans="1:15" ht="12.75">
      <c r="A58" s="50" t="str">
        <f ca="1">IFERROR(__xludf.DUMMYFUNCTION("""COMPUTED_VALUE"""),"CD51")</f>
        <v>CD51</v>
      </c>
      <c r="B58" s="77" t="str">
        <f ca="1">IFERROR(__xludf.DUMMYFUNCTION("""COMPUTED_VALUE"""),"06510015")</f>
        <v>06510015</v>
      </c>
      <c r="C58" s="48" t="str">
        <f ca="1">IFERROR(__xludf.DUMMYFUNCTION("""COMPUTED_VALUE"""),"CHALONS JA")</f>
        <v>CHALONS JA</v>
      </c>
      <c r="D58" s="46">
        <f ca="1">IFERROR(__xludf.DUMMYFUNCTION("""COMPUTED_VALUE"""),0)</f>
        <v>0</v>
      </c>
      <c r="E58" s="46">
        <f ca="1">IFERROR(__xludf.DUMMYFUNCTION("""COMPUTED_VALUE"""),0)</f>
        <v>0</v>
      </c>
      <c r="F58" s="46">
        <f ca="1">IFERROR(__xludf.DUMMYFUNCTION("""COMPUTED_VALUE"""),0)</f>
        <v>0</v>
      </c>
      <c r="G58" s="46">
        <f ca="1">IFERROR(__xludf.DUMMYFUNCTION("""COMPUTED_VALUE"""),0)</f>
        <v>0</v>
      </c>
      <c r="H58" s="46">
        <f ca="1">IFERROR(__xludf.DUMMYFUNCTION("""COMPUTED_VALUE"""),0)</f>
        <v>0</v>
      </c>
      <c r="I58" s="46">
        <f ca="1">IFERROR(__xludf.DUMMYFUNCTION("""COMPUTED_VALUE"""),0)</f>
        <v>0</v>
      </c>
      <c r="J58" s="46">
        <f ca="1">IFERROR(__xludf.DUMMYFUNCTION("""COMPUTED_VALUE"""),0)</f>
        <v>0</v>
      </c>
      <c r="K58" s="46">
        <f ca="1">IFERROR(__xludf.DUMMYFUNCTION("""COMPUTED_VALUE"""),0)</f>
        <v>0</v>
      </c>
      <c r="L58" s="46">
        <f ca="1">IFERROR(__xludf.DUMMYFUNCTION("""COMPUTED_VALUE"""),0)</f>
        <v>0</v>
      </c>
      <c r="M58" s="46">
        <f ca="1">IFERROR(__xludf.DUMMYFUNCTION("""COMPUTED_VALUE"""),0)</f>
        <v>0</v>
      </c>
      <c r="N58" s="46">
        <f ca="1">IFERROR(__xludf.DUMMYFUNCTION("""COMPUTED_VALUE"""),0)</f>
        <v>0</v>
      </c>
      <c r="O58" s="50">
        <f t="shared" ca="1" si="1"/>
        <v>0</v>
      </c>
    </row>
    <row r="59" spans="1:15" ht="12.75">
      <c r="A59" s="50" t="str">
        <f ca="1">IFERROR(__xludf.DUMMYFUNCTION("""COMPUTED_VALUE"""),"CD51")</f>
        <v>CD51</v>
      </c>
      <c r="B59" s="77" t="str">
        <f ca="1">IFERROR(__xludf.DUMMYFUNCTION("""COMPUTED_VALUE"""),"06510018")</f>
        <v>06510018</v>
      </c>
      <c r="C59" s="48" t="str">
        <f ca="1">IFERROR(__xludf.DUMMYFUNCTION("""COMPUTED_VALUE"""),"REIMS ASPTT")</f>
        <v>REIMS ASPTT</v>
      </c>
      <c r="D59" s="46">
        <f ca="1">IFERROR(__xludf.DUMMYFUNCTION("""COMPUTED_VALUE"""),4)</f>
        <v>4</v>
      </c>
      <c r="E59" s="46">
        <f ca="1">IFERROR(__xludf.DUMMYFUNCTION("""COMPUTED_VALUE"""),0)</f>
        <v>0</v>
      </c>
      <c r="F59" s="46">
        <f ca="1">IFERROR(__xludf.DUMMYFUNCTION("""COMPUTED_VALUE"""),6)</f>
        <v>6</v>
      </c>
      <c r="G59" s="46">
        <f ca="1">IFERROR(__xludf.DUMMYFUNCTION("""COMPUTED_VALUE"""),1)</f>
        <v>1</v>
      </c>
      <c r="H59" s="46">
        <f ca="1">IFERROR(__xludf.DUMMYFUNCTION("""COMPUTED_VALUE"""),0)</f>
        <v>0</v>
      </c>
      <c r="I59" s="46">
        <f ca="1">IFERROR(__xludf.DUMMYFUNCTION("""COMPUTED_VALUE"""),4)</f>
        <v>4</v>
      </c>
      <c r="J59" s="46">
        <f ca="1">IFERROR(__xludf.DUMMYFUNCTION("""COMPUTED_VALUE"""),1)</f>
        <v>1</v>
      </c>
      <c r="K59" s="46">
        <f ca="1">IFERROR(__xludf.DUMMYFUNCTION("""COMPUTED_VALUE"""),0)</f>
        <v>0</v>
      </c>
      <c r="L59" s="46">
        <f ca="1">IFERROR(__xludf.DUMMYFUNCTION("""COMPUTED_VALUE"""),1)</f>
        <v>1</v>
      </c>
      <c r="M59" s="46">
        <f ca="1">IFERROR(__xludf.DUMMYFUNCTION("""COMPUTED_VALUE"""),0)</f>
        <v>0</v>
      </c>
      <c r="N59" s="46">
        <f ca="1">IFERROR(__xludf.DUMMYFUNCTION("""COMPUTED_VALUE"""),1)</f>
        <v>1</v>
      </c>
      <c r="O59" s="50">
        <f t="shared" ca="1" si="1"/>
        <v>18</v>
      </c>
    </row>
    <row r="60" spans="1:15" ht="12.75">
      <c r="A60" s="50" t="str">
        <f ca="1">IFERROR(__xludf.DUMMYFUNCTION("""COMPUTED_VALUE"""),"CD51")</f>
        <v>CD51</v>
      </c>
      <c r="B60" s="77" t="str">
        <f ca="1">IFERROR(__xludf.DUMMYFUNCTION("""COMPUTED_VALUE"""),"06510019")</f>
        <v>06510019</v>
      </c>
      <c r="C60" s="48" t="str">
        <f ca="1">IFERROR(__xludf.DUMMYFUNCTION("""COMPUTED_VALUE"""),"TAISSY ASTT")</f>
        <v>TAISSY ASTT</v>
      </c>
      <c r="D60" s="46">
        <f ca="1">IFERROR(__xludf.DUMMYFUNCTION("""COMPUTED_VALUE"""),1)</f>
        <v>1</v>
      </c>
      <c r="E60" s="46">
        <f ca="1">IFERROR(__xludf.DUMMYFUNCTION("""COMPUTED_VALUE"""),0)</f>
        <v>0</v>
      </c>
      <c r="F60" s="46">
        <f ca="1">IFERROR(__xludf.DUMMYFUNCTION("""COMPUTED_VALUE"""),4)</f>
        <v>4</v>
      </c>
      <c r="G60" s="46">
        <f ca="1">IFERROR(__xludf.DUMMYFUNCTION("""COMPUTED_VALUE"""),0)</f>
        <v>0</v>
      </c>
      <c r="H60" s="46">
        <f ca="1">IFERROR(__xludf.DUMMYFUNCTION("""COMPUTED_VALUE"""),1)</f>
        <v>1</v>
      </c>
      <c r="I60" s="46">
        <f ca="1">IFERROR(__xludf.DUMMYFUNCTION("""COMPUTED_VALUE"""),1)</f>
        <v>1</v>
      </c>
      <c r="J60" s="46">
        <f ca="1">IFERROR(__xludf.DUMMYFUNCTION("""COMPUTED_VALUE"""),2)</f>
        <v>2</v>
      </c>
      <c r="K60" s="46">
        <f ca="1">IFERROR(__xludf.DUMMYFUNCTION("""COMPUTED_VALUE"""),0)</f>
        <v>0</v>
      </c>
      <c r="L60" s="46">
        <f ca="1">IFERROR(__xludf.DUMMYFUNCTION("""COMPUTED_VALUE"""),0)</f>
        <v>0</v>
      </c>
      <c r="M60" s="46">
        <f ca="1">IFERROR(__xludf.DUMMYFUNCTION("""COMPUTED_VALUE"""),0)</f>
        <v>0</v>
      </c>
      <c r="N60" s="46">
        <f ca="1">IFERROR(__xludf.DUMMYFUNCTION("""COMPUTED_VALUE"""),1)</f>
        <v>1</v>
      </c>
      <c r="O60" s="50">
        <f t="shared" ca="1" si="1"/>
        <v>10</v>
      </c>
    </row>
    <row r="61" spans="1:15" ht="12.75">
      <c r="A61" s="50" t="str">
        <f ca="1">IFERROR(__xludf.DUMMYFUNCTION("""COMPUTED_VALUE"""),"CD51")</f>
        <v>CD51</v>
      </c>
      <c r="B61" s="77" t="str">
        <f ca="1">IFERROR(__xludf.DUMMYFUNCTION("""COMPUTED_VALUE"""),"06510020")</f>
        <v>06510020</v>
      </c>
      <c r="C61" s="48" t="str">
        <f ca="1">IFERROR(__xludf.DUMMYFUNCTION("""COMPUTED_VALUE"""),"EPERNAY-PLIVOT PPC")</f>
        <v>EPERNAY-PLIVOT PPC</v>
      </c>
      <c r="D61" s="46">
        <f ca="1">IFERROR(__xludf.DUMMYFUNCTION("""COMPUTED_VALUE"""),0)</f>
        <v>0</v>
      </c>
      <c r="E61" s="46">
        <f ca="1">IFERROR(__xludf.DUMMYFUNCTION("""COMPUTED_VALUE"""),0)</f>
        <v>0</v>
      </c>
      <c r="F61" s="46">
        <f ca="1">IFERROR(__xludf.DUMMYFUNCTION("""COMPUTED_VALUE"""),8)</f>
        <v>8</v>
      </c>
      <c r="G61" s="46">
        <f ca="1">IFERROR(__xludf.DUMMYFUNCTION("""COMPUTED_VALUE"""),0)</f>
        <v>0</v>
      </c>
      <c r="H61" s="46">
        <f ca="1">IFERROR(__xludf.DUMMYFUNCTION("""COMPUTED_VALUE"""),0)</f>
        <v>0</v>
      </c>
      <c r="I61" s="46">
        <f ca="1">IFERROR(__xludf.DUMMYFUNCTION("""COMPUTED_VALUE"""),7)</f>
        <v>7</v>
      </c>
      <c r="J61" s="46">
        <f ca="1">IFERROR(__xludf.DUMMYFUNCTION("""COMPUTED_VALUE"""),1)</f>
        <v>1</v>
      </c>
      <c r="K61" s="46">
        <f ca="1">IFERROR(__xludf.DUMMYFUNCTION("""COMPUTED_VALUE"""),0)</f>
        <v>0</v>
      </c>
      <c r="L61" s="46">
        <f ca="1">IFERROR(__xludf.DUMMYFUNCTION("""COMPUTED_VALUE"""),0)</f>
        <v>0</v>
      </c>
      <c r="M61" s="46">
        <f ca="1">IFERROR(__xludf.DUMMYFUNCTION("""COMPUTED_VALUE"""),0)</f>
        <v>0</v>
      </c>
      <c r="N61" s="46">
        <f ca="1">IFERROR(__xludf.DUMMYFUNCTION("""COMPUTED_VALUE"""),0)</f>
        <v>0</v>
      </c>
      <c r="O61" s="50">
        <f t="shared" ca="1" si="1"/>
        <v>16</v>
      </c>
    </row>
    <row r="62" spans="1:15" ht="12.75">
      <c r="A62" s="50" t="str">
        <f ca="1">IFERROR(__xludf.DUMMYFUNCTION("""COMPUTED_VALUE"""),"CD51")</f>
        <v>CD51</v>
      </c>
      <c r="B62" s="77" t="str">
        <f ca="1">IFERROR(__xludf.DUMMYFUNCTION("""COMPUTED_VALUE"""),"06510029")</f>
        <v>06510029</v>
      </c>
      <c r="C62" s="48" t="str">
        <f ca="1">IFERROR(__xludf.DUMMYFUNCTION("""COMPUTED_VALUE"""),"GRAUVES TT")</f>
        <v>GRAUVES TT</v>
      </c>
      <c r="D62" s="46">
        <f ca="1">IFERROR(__xludf.DUMMYFUNCTION("""COMPUTED_VALUE"""),0)</f>
        <v>0</v>
      </c>
      <c r="E62" s="46">
        <f ca="1">IFERROR(__xludf.DUMMYFUNCTION("""COMPUTED_VALUE"""),0)</f>
        <v>0</v>
      </c>
      <c r="F62" s="46">
        <f ca="1">IFERROR(__xludf.DUMMYFUNCTION("""COMPUTED_VALUE"""),2)</f>
        <v>2</v>
      </c>
      <c r="G62" s="46">
        <f ca="1">IFERROR(__xludf.DUMMYFUNCTION("""COMPUTED_VALUE"""),0)</f>
        <v>0</v>
      </c>
      <c r="H62" s="46">
        <f ca="1">IFERROR(__xludf.DUMMYFUNCTION("""COMPUTED_VALUE"""),0)</f>
        <v>0</v>
      </c>
      <c r="I62" s="46">
        <f ca="1">IFERROR(__xludf.DUMMYFUNCTION("""COMPUTED_VALUE"""),2)</f>
        <v>2</v>
      </c>
      <c r="J62" s="46">
        <f ca="1">IFERROR(__xludf.DUMMYFUNCTION("""COMPUTED_VALUE"""),0)</f>
        <v>0</v>
      </c>
      <c r="K62" s="46">
        <f ca="1">IFERROR(__xludf.DUMMYFUNCTION("""COMPUTED_VALUE"""),0)</f>
        <v>0</v>
      </c>
      <c r="L62" s="46">
        <f ca="1">IFERROR(__xludf.DUMMYFUNCTION("""COMPUTED_VALUE"""),0)</f>
        <v>0</v>
      </c>
      <c r="M62" s="46">
        <f ca="1">IFERROR(__xludf.DUMMYFUNCTION("""COMPUTED_VALUE"""),0)</f>
        <v>0</v>
      </c>
      <c r="N62" s="46">
        <f ca="1">IFERROR(__xludf.DUMMYFUNCTION("""COMPUTED_VALUE"""),0)</f>
        <v>0</v>
      </c>
      <c r="O62" s="50">
        <f t="shared" ca="1" si="1"/>
        <v>4</v>
      </c>
    </row>
    <row r="63" spans="1:15" ht="12.75">
      <c r="A63" s="50" t="str">
        <f ca="1">IFERROR(__xludf.DUMMYFUNCTION("""COMPUTED_VALUE"""),"CD51")</f>
        <v>CD51</v>
      </c>
      <c r="B63" s="77" t="str">
        <f ca="1">IFERROR(__xludf.DUMMYFUNCTION("""COMPUTED_VALUE"""),"06510036")</f>
        <v>06510036</v>
      </c>
      <c r="C63" s="48" t="str">
        <f ca="1">IFERROR(__xludf.DUMMYFUNCTION("""COMPUTED_VALUE"""),"VRAUX JUVIGNY RC")</f>
        <v>VRAUX JUVIGNY RC</v>
      </c>
      <c r="D63" s="46">
        <f ca="1">IFERROR(__xludf.DUMMYFUNCTION("""COMPUTED_VALUE"""),0)</f>
        <v>0</v>
      </c>
      <c r="E63" s="46">
        <f ca="1">IFERROR(__xludf.DUMMYFUNCTION("""COMPUTED_VALUE"""),0)</f>
        <v>0</v>
      </c>
      <c r="F63" s="46">
        <f ca="1">IFERROR(__xludf.DUMMYFUNCTION("""COMPUTED_VALUE"""),0)</f>
        <v>0</v>
      </c>
      <c r="G63" s="46">
        <f ca="1">IFERROR(__xludf.DUMMYFUNCTION("""COMPUTED_VALUE"""),0)</f>
        <v>0</v>
      </c>
      <c r="H63" s="46">
        <f ca="1">IFERROR(__xludf.DUMMYFUNCTION("""COMPUTED_VALUE"""),0)</f>
        <v>0</v>
      </c>
      <c r="I63" s="46">
        <f ca="1">IFERROR(__xludf.DUMMYFUNCTION("""COMPUTED_VALUE"""),0)</f>
        <v>0</v>
      </c>
      <c r="J63" s="46">
        <f ca="1">IFERROR(__xludf.DUMMYFUNCTION("""COMPUTED_VALUE"""),0)</f>
        <v>0</v>
      </c>
      <c r="K63" s="46">
        <f ca="1">IFERROR(__xludf.DUMMYFUNCTION("""COMPUTED_VALUE"""),0)</f>
        <v>0</v>
      </c>
      <c r="L63" s="46">
        <f ca="1">IFERROR(__xludf.DUMMYFUNCTION("""COMPUTED_VALUE"""),0)</f>
        <v>0</v>
      </c>
      <c r="M63" s="46">
        <f ca="1">IFERROR(__xludf.DUMMYFUNCTION("""COMPUTED_VALUE"""),0)</f>
        <v>0</v>
      </c>
      <c r="N63" s="46">
        <f ca="1">IFERROR(__xludf.DUMMYFUNCTION("""COMPUTED_VALUE"""),0)</f>
        <v>0</v>
      </c>
      <c r="O63" s="50">
        <f t="shared" ca="1" si="1"/>
        <v>0</v>
      </c>
    </row>
    <row r="64" spans="1:15" ht="12.75">
      <c r="A64" s="50" t="str">
        <f ca="1">IFERROR(__xludf.DUMMYFUNCTION("""COMPUTED_VALUE"""),"CD51")</f>
        <v>CD51</v>
      </c>
      <c r="B64" s="77" t="str">
        <f ca="1">IFERROR(__xludf.DUMMYFUNCTION("""COMPUTED_VALUE"""),"06510040")</f>
        <v>06510040</v>
      </c>
      <c r="C64" s="48" t="str">
        <f ca="1">IFERROR(__xludf.DUMMYFUNCTION("""COMPUTED_VALUE"""),"SC MESNILOIS")</f>
        <v>SC MESNILOIS</v>
      </c>
      <c r="D64" s="46">
        <f ca="1">IFERROR(__xludf.DUMMYFUNCTION("""COMPUTED_VALUE"""),0)</f>
        <v>0</v>
      </c>
      <c r="E64" s="46">
        <f ca="1">IFERROR(__xludf.DUMMYFUNCTION("""COMPUTED_VALUE"""),0)</f>
        <v>0</v>
      </c>
      <c r="F64" s="46">
        <f ca="1">IFERROR(__xludf.DUMMYFUNCTION("""COMPUTED_VALUE"""),0)</f>
        <v>0</v>
      </c>
      <c r="G64" s="46">
        <f ca="1">IFERROR(__xludf.DUMMYFUNCTION("""COMPUTED_VALUE"""),0)</f>
        <v>0</v>
      </c>
      <c r="H64" s="46">
        <f ca="1">IFERROR(__xludf.DUMMYFUNCTION("""COMPUTED_VALUE"""),0)</f>
        <v>0</v>
      </c>
      <c r="I64" s="46">
        <f ca="1">IFERROR(__xludf.DUMMYFUNCTION("""COMPUTED_VALUE"""),0)</f>
        <v>0</v>
      </c>
      <c r="J64" s="46">
        <f ca="1">IFERROR(__xludf.DUMMYFUNCTION("""COMPUTED_VALUE"""),0)</f>
        <v>0</v>
      </c>
      <c r="K64" s="46">
        <f ca="1">IFERROR(__xludf.DUMMYFUNCTION("""COMPUTED_VALUE"""),0)</f>
        <v>0</v>
      </c>
      <c r="L64" s="46">
        <f ca="1">IFERROR(__xludf.DUMMYFUNCTION("""COMPUTED_VALUE"""),0)</f>
        <v>0</v>
      </c>
      <c r="M64" s="46">
        <f ca="1">IFERROR(__xludf.DUMMYFUNCTION("""COMPUTED_VALUE"""),0)</f>
        <v>0</v>
      </c>
      <c r="N64" s="46">
        <f ca="1">IFERROR(__xludf.DUMMYFUNCTION("""COMPUTED_VALUE"""),0)</f>
        <v>0</v>
      </c>
      <c r="O64" s="50">
        <f t="shared" ca="1" si="1"/>
        <v>0</v>
      </c>
    </row>
    <row r="65" spans="1:15" ht="12.75">
      <c r="A65" s="50" t="str">
        <f ca="1">IFERROR(__xludf.DUMMYFUNCTION("""COMPUTED_VALUE"""),"CD51")</f>
        <v>CD51</v>
      </c>
      <c r="B65" s="77" t="str">
        <f ca="1">IFERROR(__xludf.DUMMYFUNCTION("""COMPUTED_VALUE"""),"06510051")</f>
        <v>06510051</v>
      </c>
      <c r="C65" s="48" t="str">
        <f ca="1">IFERROR(__xludf.DUMMYFUNCTION("""COMPUTED_VALUE"""),"VITRY TOP")</f>
        <v>VITRY TOP</v>
      </c>
      <c r="D65" s="46">
        <f ca="1">IFERROR(__xludf.DUMMYFUNCTION("""COMPUTED_VALUE"""),0)</f>
        <v>0</v>
      </c>
      <c r="E65" s="46">
        <f ca="1">IFERROR(__xludf.DUMMYFUNCTION("""COMPUTED_VALUE"""),0)</f>
        <v>0</v>
      </c>
      <c r="F65" s="46">
        <f ca="1">IFERROR(__xludf.DUMMYFUNCTION("""COMPUTED_VALUE"""),0)</f>
        <v>0</v>
      </c>
      <c r="G65" s="46">
        <f ca="1">IFERROR(__xludf.DUMMYFUNCTION("""COMPUTED_VALUE"""),0)</f>
        <v>0</v>
      </c>
      <c r="H65" s="46">
        <f ca="1">IFERROR(__xludf.DUMMYFUNCTION("""COMPUTED_VALUE"""),0)</f>
        <v>0</v>
      </c>
      <c r="I65" s="46">
        <f ca="1">IFERROR(__xludf.DUMMYFUNCTION("""COMPUTED_VALUE"""),0)</f>
        <v>0</v>
      </c>
      <c r="J65" s="46">
        <f ca="1">IFERROR(__xludf.DUMMYFUNCTION("""COMPUTED_VALUE"""),0)</f>
        <v>0</v>
      </c>
      <c r="K65" s="46">
        <f ca="1">IFERROR(__xludf.DUMMYFUNCTION("""COMPUTED_VALUE"""),0)</f>
        <v>0</v>
      </c>
      <c r="L65" s="46">
        <f ca="1">IFERROR(__xludf.DUMMYFUNCTION("""COMPUTED_VALUE"""),0)</f>
        <v>0</v>
      </c>
      <c r="M65" s="46">
        <f ca="1">IFERROR(__xludf.DUMMYFUNCTION("""COMPUTED_VALUE"""),0)</f>
        <v>0</v>
      </c>
      <c r="N65" s="46">
        <f ca="1">IFERROR(__xludf.DUMMYFUNCTION("""COMPUTED_VALUE"""),0)</f>
        <v>0</v>
      </c>
      <c r="O65" s="50">
        <f t="shared" ca="1" si="1"/>
        <v>0</v>
      </c>
    </row>
    <row r="66" spans="1:15" ht="12.75">
      <c r="A66" s="50" t="str">
        <f ca="1">IFERROR(__xludf.DUMMYFUNCTION("""COMPUTED_VALUE"""),"CD51")</f>
        <v>CD51</v>
      </c>
      <c r="B66" s="77" t="str">
        <f ca="1">IFERROR(__xludf.DUMMYFUNCTION("""COMPUTED_VALUE"""),"06510053")</f>
        <v>06510053</v>
      </c>
      <c r="C66" s="48" t="str">
        <f ca="1">IFERROR(__xludf.DUMMYFUNCTION("""COMPUTED_VALUE"""),"SEZANNE TENNIS DE TABLE")</f>
        <v>SEZANNE TENNIS DE TABLE</v>
      </c>
      <c r="D66" s="46">
        <f ca="1">IFERROR(__xludf.DUMMYFUNCTION("""COMPUTED_VALUE"""),0)</f>
        <v>0</v>
      </c>
      <c r="E66" s="46">
        <f ca="1">IFERROR(__xludf.DUMMYFUNCTION("""COMPUTED_VALUE"""),0)</f>
        <v>0</v>
      </c>
      <c r="F66" s="46">
        <f ca="1">IFERROR(__xludf.DUMMYFUNCTION("""COMPUTED_VALUE"""),1)</f>
        <v>1</v>
      </c>
      <c r="G66" s="46">
        <f ca="1">IFERROR(__xludf.DUMMYFUNCTION("""COMPUTED_VALUE"""),0)</f>
        <v>0</v>
      </c>
      <c r="H66" s="46">
        <f ca="1">IFERROR(__xludf.DUMMYFUNCTION("""COMPUTED_VALUE"""),0)</f>
        <v>0</v>
      </c>
      <c r="I66" s="46">
        <f ca="1">IFERROR(__xludf.DUMMYFUNCTION("""COMPUTED_VALUE"""),1)</f>
        <v>1</v>
      </c>
      <c r="J66" s="46">
        <f ca="1">IFERROR(__xludf.DUMMYFUNCTION("""COMPUTED_VALUE"""),0)</f>
        <v>0</v>
      </c>
      <c r="K66" s="46">
        <f ca="1">IFERROR(__xludf.DUMMYFUNCTION("""COMPUTED_VALUE"""),0)</f>
        <v>0</v>
      </c>
      <c r="L66" s="46">
        <f ca="1">IFERROR(__xludf.DUMMYFUNCTION("""COMPUTED_VALUE"""),0)</f>
        <v>0</v>
      </c>
      <c r="M66" s="46">
        <f ca="1">IFERROR(__xludf.DUMMYFUNCTION("""COMPUTED_VALUE"""),0)</f>
        <v>0</v>
      </c>
      <c r="N66" s="46">
        <f ca="1">IFERROR(__xludf.DUMMYFUNCTION("""COMPUTED_VALUE"""),0)</f>
        <v>0</v>
      </c>
      <c r="O66" s="50">
        <f t="shared" ca="1" si="1"/>
        <v>2</v>
      </c>
    </row>
    <row r="67" spans="1:15" ht="12.75">
      <c r="A67" s="50" t="str">
        <f ca="1">IFERROR(__xludf.DUMMYFUNCTION("""COMPUTED_VALUE"""),"CD51")</f>
        <v>CD51</v>
      </c>
      <c r="B67" s="77" t="str">
        <f ca="1">IFERROR(__xludf.DUMMYFUNCTION("""COMPUTED_VALUE"""),"06510054")</f>
        <v>06510054</v>
      </c>
      <c r="C67" s="48" t="str">
        <f ca="1">IFERROR(__xludf.DUMMYFUNCTION("""COMPUTED_VALUE"""),"COMPERTRIX FTT")</f>
        <v>COMPERTRIX FTT</v>
      </c>
      <c r="D67" s="46">
        <f ca="1">IFERROR(__xludf.DUMMYFUNCTION("""COMPUTED_VALUE"""),0)</f>
        <v>0</v>
      </c>
      <c r="E67" s="46">
        <f ca="1">IFERROR(__xludf.DUMMYFUNCTION("""COMPUTED_VALUE"""),0)</f>
        <v>0</v>
      </c>
      <c r="F67" s="46">
        <f ca="1">IFERROR(__xludf.DUMMYFUNCTION("""COMPUTED_VALUE"""),2)</f>
        <v>2</v>
      </c>
      <c r="G67" s="46">
        <f ca="1">IFERROR(__xludf.DUMMYFUNCTION("""COMPUTED_VALUE"""),0)</f>
        <v>0</v>
      </c>
      <c r="H67" s="46">
        <f ca="1">IFERROR(__xludf.DUMMYFUNCTION("""COMPUTED_VALUE"""),0)</f>
        <v>0</v>
      </c>
      <c r="I67" s="46">
        <f ca="1">IFERROR(__xludf.DUMMYFUNCTION("""COMPUTED_VALUE"""),1)</f>
        <v>1</v>
      </c>
      <c r="J67" s="46">
        <f ca="1">IFERROR(__xludf.DUMMYFUNCTION("""COMPUTED_VALUE"""),1)</f>
        <v>1</v>
      </c>
      <c r="K67" s="46">
        <f ca="1">IFERROR(__xludf.DUMMYFUNCTION("""COMPUTED_VALUE"""),0)</f>
        <v>0</v>
      </c>
      <c r="L67" s="46">
        <f ca="1">IFERROR(__xludf.DUMMYFUNCTION("""COMPUTED_VALUE"""),0)</f>
        <v>0</v>
      </c>
      <c r="M67" s="46">
        <f ca="1">IFERROR(__xludf.DUMMYFUNCTION("""COMPUTED_VALUE"""),0)</f>
        <v>0</v>
      </c>
      <c r="N67" s="46">
        <f ca="1">IFERROR(__xludf.DUMMYFUNCTION("""COMPUTED_VALUE"""),0)</f>
        <v>0</v>
      </c>
      <c r="O67" s="50">
        <f t="shared" ca="1" si="1"/>
        <v>4</v>
      </c>
    </row>
    <row r="68" spans="1:15" ht="12.75">
      <c r="A68" s="50" t="str">
        <f ca="1">IFERROR(__xludf.DUMMYFUNCTION("""COMPUTED_VALUE"""),"CD51")</f>
        <v>CD51</v>
      </c>
      <c r="B68" s="77" t="str">
        <f ca="1">IFERROR(__xludf.DUMMYFUNCTION("""COMPUTED_VALUE"""),"06510062")</f>
        <v>06510062</v>
      </c>
      <c r="C68" s="48" t="str">
        <f ca="1">IFERROR(__xludf.DUMMYFUNCTION("""COMPUTED_VALUE"""),"FERE-CHAMPENOISE TT")</f>
        <v>FERE-CHAMPENOISE TT</v>
      </c>
      <c r="D68" s="46">
        <f ca="1">IFERROR(__xludf.DUMMYFUNCTION("""COMPUTED_VALUE"""),0)</f>
        <v>0</v>
      </c>
      <c r="E68" s="46">
        <f ca="1">IFERROR(__xludf.DUMMYFUNCTION("""COMPUTED_VALUE"""),0)</f>
        <v>0</v>
      </c>
      <c r="F68" s="46">
        <f ca="1">IFERROR(__xludf.DUMMYFUNCTION("""COMPUTED_VALUE"""),0)</f>
        <v>0</v>
      </c>
      <c r="G68" s="46">
        <f ca="1">IFERROR(__xludf.DUMMYFUNCTION("""COMPUTED_VALUE"""),0)</f>
        <v>0</v>
      </c>
      <c r="H68" s="46">
        <f ca="1">IFERROR(__xludf.DUMMYFUNCTION("""COMPUTED_VALUE"""),0)</f>
        <v>0</v>
      </c>
      <c r="I68" s="46">
        <f ca="1">IFERROR(__xludf.DUMMYFUNCTION("""COMPUTED_VALUE"""),0)</f>
        <v>0</v>
      </c>
      <c r="J68" s="46">
        <f ca="1">IFERROR(__xludf.DUMMYFUNCTION("""COMPUTED_VALUE"""),0)</f>
        <v>0</v>
      </c>
      <c r="K68" s="46">
        <f ca="1">IFERROR(__xludf.DUMMYFUNCTION("""COMPUTED_VALUE"""),0)</f>
        <v>0</v>
      </c>
      <c r="L68" s="46">
        <f ca="1">IFERROR(__xludf.DUMMYFUNCTION("""COMPUTED_VALUE"""),0)</f>
        <v>0</v>
      </c>
      <c r="M68" s="46">
        <f ca="1">IFERROR(__xludf.DUMMYFUNCTION("""COMPUTED_VALUE"""),0)</f>
        <v>0</v>
      </c>
      <c r="N68" s="46">
        <f ca="1">IFERROR(__xludf.DUMMYFUNCTION("""COMPUTED_VALUE"""),0)</f>
        <v>0</v>
      </c>
      <c r="O68" s="50">
        <f t="shared" ca="1" si="1"/>
        <v>0</v>
      </c>
    </row>
    <row r="69" spans="1:15" ht="12.75">
      <c r="A69" s="50" t="str">
        <f ca="1">IFERROR(__xludf.DUMMYFUNCTION("""COMPUTED_VALUE"""),"CD51")</f>
        <v>CD51</v>
      </c>
      <c r="B69" s="77" t="str">
        <f ca="1">IFERROR(__xludf.DUMMYFUNCTION("""COMPUTED_VALUE"""),"06510064")</f>
        <v>06510064</v>
      </c>
      <c r="C69" s="48" t="str">
        <f ca="1">IFERROR(__xludf.DUMMYFUNCTION("""COMPUTED_VALUE"""),"SERMAIZE Les Jeunes")</f>
        <v>SERMAIZE Les Jeunes</v>
      </c>
      <c r="D69" s="46">
        <f ca="1">IFERROR(__xludf.DUMMYFUNCTION("""COMPUTED_VALUE"""),1)</f>
        <v>1</v>
      </c>
      <c r="E69" s="46">
        <f ca="1">IFERROR(__xludf.DUMMYFUNCTION("""COMPUTED_VALUE"""),0)</f>
        <v>0</v>
      </c>
      <c r="F69" s="46">
        <f ca="1">IFERROR(__xludf.DUMMYFUNCTION("""COMPUTED_VALUE"""),0)</f>
        <v>0</v>
      </c>
      <c r="G69" s="46">
        <f ca="1">IFERROR(__xludf.DUMMYFUNCTION("""COMPUTED_VALUE"""),0)</f>
        <v>0</v>
      </c>
      <c r="H69" s="46">
        <f ca="1">IFERROR(__xludf.DUMMYFUNCTION("""COMPUTED_VALUE"""),0)</f>
        <v>0</v>
      </c>
      <c r="I69" s="46">
        <f ca="1">IFERROR(__xludf.DUMMYFUNCTION("""COMPUTED_VALUE"""),0)</f>
        <v>0</v>
      </c>
      <c r="J69" s="46">
        <f ca="1">IFERROR(__xludf.DUMMYFUNCTION("""COMPUTED_VALUE"""),0)</f>
        <v>0</v>
      </c>
      <c r="K69" s="46">
        <f ca="1">IFERROR(__xludf.DUMMYFUNCTION("""COMPUTED_VALUE"""),0)</f>
        <v>0</v>
      </c>
      <c r="L69" s="46">
        <f ca="1">IFERROR(__xludf.DUMMYFUNCTION("""COMPUTED_VALUE"""),0)</f>
        <v>0</v>
      </c>
      <c r="M69" s="46">
        <f ca="1">IFERROR(__xludf.DUMMYFUNCTION("""COMPUTED_VALUE"""),0)</f>
        <v>0</v>
      </c>
      <c r="N69" s="46">
        <f ca="1">IFERROR(__xludf.DUMMYFUNCTION("""COMPUTED_VALUE"""),0)</f>
        <v>0</v>
      </c>
      <c r="O69" s="50">
        <f t="shared" ca="1" si="1"/>
        <v>1</v>
      </c>
    </row>
    <row r="70" spans="1:15" ht="12.75">
      <c r="A70" s="50" t="str">
        <f ca="1">IFERROR(__xludf.DUMMYFUNCTION("""COMPUTED_VALUE"""),"CD51")</f>
        <v>CD51</v>
      </c>
      <c r="B70" s="77" t="str">
        <f ca="1">IFERROR(__xludf.DUMMYFUNCTION("""COMPUTED_VALUE"""),"06510071")</f>
        <v>06510071</v>
      </c>
      <c r="C70" s="48" t="str">
        <f ca="1">IFERROR(__xludf.DUMMYFUNCTION("""COMPUTED_VALUE"""),"FRIGNICOURT PING PONG CLUB")</f>
        <v>FRIGNICOURT PING PONG CLUB</v>
      </c>
      <c r="D70" s="46">
        <f ca="1">IFERROR(__xludf.DUMMYFUNCTION("""COMPUTED_VALUE"""),0)</f>
        <v>0</v>
      </c>
      <c r="E70" s="46">
        <f ca="1">IFERROR(__xludf.DUMMYFUNCTION("""COMPUTED_VALUE"""),0)</f>
        <v>0</v>
      </c>
      <c r="F70" s="46">
        <f ca="1">IFERROR(__xludf.DUMMYFUNCTION("""COMPUTED_VALUE"""),1)</f>
        <v>1</v>
      </c>
      <c r="G70" s="46">
        <f ca="1">IFERROR(__xludf.DUMMYFUNCTION("""COMPUTED_VALUE"""),0)</f>
        <v>0</v>
      </c>
      <c r="H70" s="46">
        <f ca="1">IFERROR(__xludf.DUMMYFUNCTION("""COMPUTED_VALUE"""),0)</f>
        <v>0</v>
      </c>
      <c r="I70" s="46">
        <f ca="1">IFERROR(__xludf.DUMMYFUNCTION("""COMPUTED_VALUE"""),1)</f>
        <v>1</v>
      </c>
      <c r="J70" s="46">
        <f ca="1">IFERROR(__xludf.DUMMYFUNCTION("""COMPUTED_VALUE"""),0)</f>
        <v>0</v>
      </c>
      <c r="K70" s="46">
        <f ca="1">IFERROR(__xludf.DUMMYFUNCTION("""COMPUTED_VALUE"""),0)</f>
        <v>0</v>
      </c>
      <c r="L70" s="46">
        <f ca="1">IFERROR(__xludf.DUMMYFUNCTION("""COMPUTED_VALUE"""),0)</f>
        <v>0</v>
      </c>
      <c r="M70" s="46">
        <f ca="1">IFERROR(__xludf.DUMMYFUNCTION("""COMPUTED_VALUE"""),0)</f>
        <v>0</v>
      </c>
      <c r="N70" s="46">
        <f ca="1">IFERROR(__xludf.DUMMYFUNCTION("""COMPUTED_VALUE"""),0)</f>
        <v>0</v>
      </c>
      <c r="O70" s="50">
        <f t="shared" ca="1" si="1"/>
        <v>2</v>
      </c>
    </row>
    <row r="71" spans="1:15" ht="12.75">
      <c r="A71" s="50" t="str">
        <f ca="1">IFERROR(__xludf.DUMMYFUNCTION("""COMPUTED_VALUE"""),"CD51")</f>
        <v>CD51</v>
      </c>
      <c r="B71" s="77" t="str">
        <f ca="1">IFERROR(__xludf.DUMMYFUNCTION("""COMPUTED_VALUE"""),"06510074")</f>
        <v>06510074</v>
      </c>
      <c r="C71" s="48" t="str">
        <f ca="1">IFERROR(__xludf.DUMMYFUNCTION("""COMPUTED_VALUE"""),"BARBONNE TENNIS DE TABLE")</f>
        <v>BARBONNE TENNIS DE TABLE</v>
      </c>
      <c r="D71" s="46">
        <f ca="1">IFERROR(__xludf.DUMMYFUNCTION("""COMPUTED_VALUE"""),0)</f>
        <v>0</v>
      </c>
      <c r="E71" s="46">
        <f ca="1">IFERROR(__xludf.DUMMYFUNCTION("""COMPUTED_VALUE"""),0)</f>
        <v>0</v>
      </c>
      <c r="F71" s="46">
        <f ca="1">IFERROR(__xludf.DUMMYFUNCTION("""COMPUTED_VALUE"""),0)</f>
        <v>0</v>
      </c>
      <c r="G71" s="46">
        <f ca="1">IFERROR(__xludf.DUMMYFUNCTION("""COMPUTED_VALUE"""),0)</f>
        <v>0</v>
      </c>
      <c r="H71" s="46">
        <f ca="1">IFERROR(__xludf.DUMMYFUNCTION("""COMPUTED_VALUE"""),0)</f>
        <v>0</v>
      </c>
      <c r="I71" s="46">
        <f ca="1">IFERROR(__xludf.DUMMYFUNCTION("""COMPUTED_VALUE"""),0)</f>
        <v>0</v>
      </c>
      <c r="J71" s="46">
        <f ca="1">IFERROR(__xludf.DUMMYFUNCTION("""COMPUTED_VALUE"""),0)</f>
        <v>0</v>
      </c>
      <c r="K71" s="46">
        <f ca="1">IFERROR(__xludf.DUMMYFUNCTION("""COMPUTED_VALUE"""),0)</f>
        <v>0</v>
      </c>
      <c r="L71" s="46">
        <f ca="1">IFERROR(__xludf.DUMMYFUNCTION("""COMPUTED_VALUE"""),0)</f>
        <v>0</v>
      </c>
      <c r="M71" s="46">
        <f ca="1">IFERROR(__xludf.DUMMYFUNCTION("""COMPUTED_VALUE"""),0)</f>
        <v>0</v>
      </c>
      <c r="N71" s="46">
        <f ca="1">IFERROR(__xludf.DUMMYFUNCTION("""COMPUTED_VALUE"""),0)</f>
        <v>0</v>
      </c>
      <c r="O71" s="50">
        <f t="shared" ca="1" si="1"/>
        <v>0</v>
      </c>
    </row>
    <row r="72" spans="1:15" ht="12.75">
      <c r="A72" s="50" t="str">
        <f ca="1">IFERROR(__xludf.DUMMYFUNCTION("""COMPUTED_VALUE"""),"CD51")</f>
        <v>CD51</v>
      </c>
      <c r="B72" s="77" t="str">
        <f ca="1">IFERROR(__xludf.DUMMYFUNCTION("""COMPUTED_VALUE"""),"06510077")</f>
        <v>06510077</v>
      </c>
      <c r="C72" s="48" t="str">
        <f ca="1">IFERROR(__xludf.DUMMYFUNCTION("""COMPUTED_VALUE"""),"CS BETHENY  TT")</f>
        <v>CS BETHENY  TT</v>
      </c>
      <c r="D72" s="46">
        <f ca="1">IFERROR(__xludf.DUMMYFUNCTION("""COMPUTED_VALUE"""),0)</f>
        <v>0</v>
      </c>
      <c r="E72" s="46">
        <f ca="1">IFERROR(__xludf.DUMMYFUNCTION("""COMPUTED_VALUE"""),0)</f>
        <v>0</v>
      </c>
      <c r="F72" s="46">
        <f ca="1">IFERROR(__xludf.DUMMYFUNCTION("""COMPUTED_VALUE"""),0)</f>
        <v>0</v>
      </c>
      <c r="G72" s="46">
        <f ca="1">IFERROR(__xludf.DUMMYFUNCTION("""COMPUTED_VALUE"""),0)</f>
        <v>0</v>
      </c>
      <c r="H72" s="46">
        <f ca="1">IFERROR(__xludf.DUMMYFUNCTION("""COMPUTED_VALUE"""),0)</f>
        <v>0</v>
      </c>
      <c r="I72" s="46">
        <f ca="1">IFERROR(__xludf.DUMMYFUNCTION("""COMPUTED_VALUE"""),0)</f>
        <v>0</v>
      </c>
      <c r="J72" s="46">
        <f ca="1">IFERROR(__xludf.DUMMYFUNCTION("""COMPUTED_VALUE"""),0)</f>
        <v>0</v>
      </c>
      <c r="K72" s="46">
        <f ca="1">IFERROR(__xludf.DUMMYFUNCTION("""COMPUTED_VALUE"""),0)</f>
        <v>0</v>
      </c>
      <c r="L72" s="46">
        <f ca="1">IFERROR(__xludf.DUMMYFUNCTION("""COMPUTED_VALUE"""),0)</f>
        <v>0</v>
      </c>
      <c r="M72" s="46">
        <f ca="1">IFERROR(__xludf.DUMMYFUNCTION("""COMPUTED_VALUE"""),0)</f>
        <v>0</v>
      </c>
      <c r="N72" s="46">
        <f ca="1">IFERROR(__xludf.DUMMYFUNCTION("""COMPUTED_VALUE"""),0)</f>
        <v>0</v>
      </c>
      <c r="O72" s="50">
        <f t="shared" ca="1" si="1"/>
        <v>0</v>
      </c>
    </row>
    <row r="73" spans="1:15" ht="12.75">
      <c r="A73" s="50" t="str">
        <f ca="1">IFERROR(__xludf.DUMMYFUNCTION("""COMPUTED_VALUE"""),"CD51")</f>
        <v>CD51</v>
      </c>
      <c r="B73" s="77" t="str">
        <f ca="1">IFERROR(__xludf.DUMMYFUNCTION("""COMPUTED_VALUE"""),"06510082")</f>
        <v>06510082</v>
      </c>
      <c r="C73" s="48" t="str">
        <f ca="1">IFERROR(__xludf.DUMMYFUNCTION("""COMPUTED_VALUE"""),"SAINTE MENEHOULD VVV")</f>
        <v>SAINTE MENEHOULD VVV</v>
      </c>
      <c r="D73" s="46">
        <f ca="1">IFERROR(__xludf.DUMMYFUNCTION("""COMPUTED_VALUE"""),0)</f>
        <v>0</v>
      </c>
      <c r="E73" s="46">
        <f ca="1">IFERROR(__xludf.DUMMYFUNCTION("""COMPUTED_VALUE"""),0)</f>
        <v>0</v>
      </c>
      <c r="F73" s="46">
        <f ca="1">IFERROR(__xludf.DUMMYFUNCTION("""COMPUTED_VALUE"""),0)</f>
        <v>0</v>
      </c>
      <c r="G73" s="46">
        <f ca="1">IFERROR(__xludf.DUMMYFUNCTION("""COMPUTED_VALUE"""),0)</f>
        <v>0</v>
      </c>
      <c r="H73" s="46">
        <f ca="1">IFERROR(__xludf.DUMMYFUNCTION("""COMPUTED_VALUE"""),0)</f>
        <v>0</v>
      </c>
      <c r="I73" s="46">
        <f ca="1">IFERROR(__xludf.DUMMYFUNCTION("""COMPUTED_VALUE"""),0)</f>
        <v>0</v>
      </c>
      <c r="J73" s="46">
        <f ca="1">IFERROR(__xludf.DUMMYFUNCTION("""COMPUTED_VALUE"""),0)</f>
        <v>0</v>
      </c>
      <c r="K73" s="46">
        <f ca="1">IFERROR(__xludf.DUMMYFUNCTION("""COMPUTED_VALUE"""),0)</f>
        <v>0</v>
      </c>
      <c r="L73" s="46">
        <f ca="1">IFERROR(__xludf.DUMMYFUNCTION("""COMPUTED_VALUE"""),0)</f>
        <v>0</v>
      </c>
      <c r="M73" s="46">
        <f ca="1">IFERROR(__xludf.DUMMYFUNCTION("""COMPUTED_VALUE"""),0)</f>
        <v>0</v>
      </c>
      <c r="N73" s="46">
        <f ca="1">IFERROR(__xludf.DUMMYFUNCTION("""COMPUTED_VALUE"""),0)</f>
        <v>0</v>
      </c>
      <c r="O73" s="50">
        <f t="shared" ca="1" si="1"/>
        <v>0</v>
      </c>
    </row>
    <row r="74" spans="1:15" ht="12.75">
      <c r="A74" s="50" t="str">
        <f ca="1">IFERROR(__xludf.DUMMYFUNCTION("""COMPUTED_VALUE"""),"CD51")</f>
        <v>CD51</v>
      </c>
      <c r="B74" s="77" t="str">
        <f ca="1">IFERROR(__xludf.DUMMYFUNCTION("""COMPUTED_VALUE"""),"06510090")</f>
        <v>06510090</v>
      </c>
      <c r="C74" s="48" t="str">
        <f ca="1">IFERROR(__xludf.DUMMYFUNCTION("""COMPUTED_VALUE"""),"MAREUIL PIERRY PP")</f>
        <v>MAREUIL PIERRY PP</v>
      </c>
      <c r="D74" s="46">
        <f ca="1">IFERROR(__xludf.DUMMYFUNCTION("""COMPUTED_VALUE"""),0)</f>
        <v>0</v>
      </c>
      <c r="E74" s="46">
        <f ca="1">IFERROR(__xludf.DUMMYFUNCTION("""COMPUTED_VALUE"""),0)</f>
        <v>0</v>
      </c>
      <c r="F74" s="46">
        <f ca="1">IFERROR(__xludf.DUMMYFUNCTION("""COMPUTED_VALUE"""),0)</f>
        <v>0</v>
      </c>
      <c r="G74" s="46">
        <f ca="1">IFERROR(__xludf.DUMMYFUNCTION("""COMPUTED_VALUE"""),0)</f>
        <v>0</v>
      </c>
      <c r="H74" s="46">
        <f ca="1">IFERROR(__xludf.DUMMYFUNCTION("""COMPUTED_VALUE"""),0)</f>
        <v>0</v>
      </c>
      <c r="I74" s="46">
        <f ca="1">IFERROR(__xludf.DUMMYFUNCTION("""COMPUTED_VALUE"""),0)</f>
        <v>0</v>
      </c>
      <c r="J74" s="46">
        <f ca="1">IFERROR(__xludf.DUMMYFUNCTION("""COMPUTED_VALUE"""),0)</f>
        <v>0</v>
      </c>
      <c r="K74" s="46">
        <f ca="1">IFERROR(__xludf.DUMMYFUNCTION("""COMPUTED_VALUE"""),0)</f>
        <v>0</v>
      </c>
      <c r="L74" s="46">
        <f ca="1">IFERROR(__xludf.DUMMYFUNCTION("""COMPUTED_VALUE"""),0)</f>
        <v>0</v>
      </c>
      <c r="M74" s="46">
        <f ca="1">IFERROR(__xludf.DUMMYFUNCTION("""COMPUTED_VALUE"""),0)</f>
        <v>0</v>
      </c>
      <c r="N74" s="46">
        <f ca="1">IFERROR(__xludf.DUMMYFUNCTION("""COMPUTED_VALUE"""),0)</f>
        <v>0</v>
      </c>
      <c r="O74" s="50">
        <f t="shared" ca="1" si="1"/>
        <v>0</v>
      </c>
    </row>
    <row r="75" spans="1:15" ht="12.75">
      <c r="A75" s="50" t="str">
        <f ca="1">IFERROR(__xludf.DUMMYFUNCTION("""COMPUTED_VALUE"""),"CD51")</f>
        <v>CD51</v>
      </c>
      <c r="B75" s="77" t="str">
        <f ca="1">IFERROR(__xludf.DUMMYFUNCTION("""COMPUTED_VALUE"""),"06510105")</f>
        <v>06510105</v>
      </c>
      <c r="C75" s="48" t="str">
        <f ca="1">IFERROR(__xludf.DUMMYFUNCTION("""COMPUTED_VALUE"""),"GIVRY-EN-ARGONNE ATPP")</f>
        <v>GIVRY-EN-ARGONNE ATPP</v>
      </c>
      <c r="D75" s="46">
        <f ca="1">IFERROR(__xludf.DUMMYFUNCTION("""COMPUTED_VALUE"""),2)</f>
        <v>2</v>
      </c>
      <c r="E75" s="46">
        <f ca="1">IFERROR(__xludf.DUMMYFUNCTION("""COMPUTED_VALUE"""),0)</f>
        <v>0</v>
      </c>
      <c r="F75" s="46">
        <f ca="1">IFERROR(__xludf.DUMMYFUNCTION("""COMPUTED_VALUE"""),0)</f>
        <v>0</v>
      </c>
      <c r="G75" s="46">
        <f ca="1">IFERROR(__xludf.DUMMYFUNCTION("""COMPUTED_VALUE"""),0)</f>
        <v>0</v>
      </c>
      <c r="H75" s="46">
        <f ca="1">IFERROR(__xludf.DUMMYFUNCTION("""COMPUTED_VALUE"""),0)</f>
        <v>0</v>
      </c>
      <c r="I75" s="46">
        <f ca="1">IFERROR(__xludf.DUMMYFUNCTION("""COMPUTED_VALUE"""),0)</f>
        <v>0</v>
      </c>
      <c r="J75" s="46">
        <f ca="1">IFERROR(__xludf.DUMMYFUNCTION("""COMPUTED_VALUE"""),0)</f>
        <v>0</v>
      </c>
      <c r="K75" s="46">
        <f ca="1">IFERROR(__xludf.DUMMYFUNCTION("""COMPUTED_VALUE"""),0)</f>
        <v>0</v>
      </c>
      <c r="L75" s="46">
        <f ca="1">IFERROR(__xludf.DUMMYFUNCTION("""COMPUTED_VALUE"""),0)</f>
        <v>0</v>
      </c>
      <c r="M75" s="46">
        <f ca="1">IFERROR(__xludf.DUMMYFUNCTION("""COMPUTED_VALUE"""),0)</f>
        <v>0</v>
      </c>
      <c r="N75" s="46">
        <f ca="1">IFERROR(__xludf.DUMMYFUNCTION("""COMPUTED_VALUE"""),0)</f>
        <v>0</v>
      </c>
      <c r="O75" s="50">
        <f t="shared" ca="1" si="1"/>
        <v>2</v>
      </c>
    </row>
    <row r="76" spans="1:15" ht="12.75">
      <c r="A76" s="50" t="str">
        <f ca="1">IFERROR(__xludf.DUMMYFUNCTION("""COMPUTED_VALUE"""),"CD51")</f>
        <v>CD51</v>
      </c>
      <c r="B76" s="77" t="str">
        <f ca="1">IFERROR(__xludf.DUMMYFUNCTION("""COMPUTED_VALUE"""),"06510107")</f>
        <v>06510107</v>
      </c>
      <c r="C76" s="48" t="str">
        <f ca="1">IFERROR(__xludf.DUMMYFUNCTION("""COMPUTED_VALUE"""),"GUEUX TINQUEUX ASTT")</f>
        <v>GUEUX TINQUEUX ASTT</v>
      </c>
      <c r="D76" s="46">
        <f ca="1">IFERROR(__xludf.DUMMYFUNCTION("""COMPUTED_VALUE"""),1)</f>
        <v>1</v>
      </c>
      <c r="E76" s="46">
        <f ca="1">IFERROR(__xludf.DUMMYFUNCTION("""COMPUTED_VALUE"""),0)</f>
        <v>0</v>
      </c>
      <c r="F76" s="46">
        <f ca="1">IFERROR(__xludf.DUMMYFUNCTION("""COMPUTED_VALUE"""),4)</f>
        <v>4</v>
      </c>
      <c r="G76" s="46">
        <f ca="1">IFERROR(__xludf.DUMMYFUNCTION("""COMPUTED_VALUE"""),0)</f>
        <v>0</v>
      </c>
      <c r="H76" s="46">
        <f ca="1">IFERROR(__xludf.DUMMYFUNCTION("""COMPUTED_VALUE"""),0)</f>
        <v>0</v>
      </c>
      <c r="I76" s="46">
        <f ca="1">IFERROR(__xludf.DUMMYFUNCTION("""COMPUTED_VALUE"""),2)</f>
        <v>2</v>
      </c>
      <c r="J76" s="46">
        <f ca="1">IFERROR(__xludf.DUMMYFUNCTION("""COMPUTED_VALUE"""),1)</f>
        <v>1</v>
      </c>
      <c r="K76" s="46">
        <f ca="1">IFERROR(__xludf.DUMMYFUNCTION("""COMPUTED_VALUE"""),0)</f>
        <v>0</v>
      </c>
      <c r="L76" s="46">
        <f ca="1">IFERROR(__xludf.DUMMYFUNCTION("""COMPUTED_VALUE"""),0)</f>
        <v>0</v>
      </c>
      <c r="M76" s="46">
        <f ca="1">IFERROR(__xludf.DUMMYFUNCTION("""COMPUTED_VALUE"""),0)</f>
        <v>0</v>
      </c>
      <c r="N76" s="46">
        <f ca="1">IFERROR(__xludf.DUMMYFUNCTION("""COMPUTED_VALUE"""),0)</f>
        <v>0</v>
      </c>
      <c r="O76" s="50">
        <f t="shared" ca="1" si="1"/>
        <v>8</v>
      </c>
    </row>
    <row r="77" spans="1:15" ht="12.75">
      <c r="A77" s="50" t="str">
        <f ca="1">IFERROR(__xludf.DUMMYFUNCTION("""COMPUTED_VALUE"""),"CD51")</f>
        <v>CD51</v>
      </c>
      <c r="B77" s="77" t="str">
        <f ca="1">IFERROR(__xludf.DUMMYFUNCTION("""COMPUTED_VALUE"""),"06510110")</f>
        <v>06510110</v>
      </c>
      <c r="C77" s="48" t="str">
        <f ca="1">IFERROR(__xludf.DUMMYFUNCTION("""COMPUTED_VALUE"""),"CHEPY ASCJ")</f>
        <v>CHEPY ASCJ</v>
      </c>
      <c r="D77" s="46">
        <f ca="1">IFERROR(__xludf.DUMMYFUNCTION("""COMPUTED_VALUE"""),0)</f>
        <v>0</v>
      </c>
      <c r="E77" s="46">
        <f ca="1">IFERROR(__xludf.DUMMYFUNCTION("""COMPUTED_VALUE"""),0)</f>
        <v>0</v>
      </c>
      <c r="F77" s="46">
        <f ca="1">IFERROR(__xludf.DUMMYFUNCTION("""COMPUTED_VALUE"""),1)</f>
        <v>1</v>
      </c>
      <c r="G77" s="46">
        <f ca="1">IFERROR(__xludf.DUMMYFUNCTION("""COMPUTED_VALUE"""),0)</f>
        <v>0</v>
      </c>
      <c r="H77" s="46">
        <f ca="1">IFERROR(__xludf.DUMMYFUNCTION("""COMPUTED_VALUE"""),0)</f>
        <v>0</v>
      </c>
      <c r="I77" s="46">
        <f ca="1">IFERROR(__xludf.DUMMYFUNCTION("""COMPUTED_VALUE"""),0)</f>
        <v>0</v>
      </c>
      <c r="J77" s="46">
        <f ca="1">IFERROR(__xludf.DUMMYFUNCTION("""COMPUTED_VALUE"""),0)</f>
        <v>0</v>
      </c>
      <c r="K77" s="46">
        <f ca="1">IFERROR(__xludf.DUMMYFUNCTION("""COMPUTED_VALUE"""),1)</f>
        <v>1</v>
      </c>
      <c r="L77" s="46">
        <f ca="1">IFERROR(__xludf.DUMMYFUNCTION("""COMPUTED_VALUE"""),0)</f>
        <v>0</v>
      </c>
      <c r="M77" s="46">
        <f ca="1">IFERROR(__xludf.DUMMYFUNCTION("""COMPUTED_VALUE"""),0)</f>
        <v>0</v>
      </c>
      <c r="N77" s="46">
        <f ca="1">IFERROR(__xludf.DUMMYFUNCTION("""COMPUTED_VALUE"""),0)</f>
        <v>0</v>
      </c>
      <c r="O77" s="50">
        <f t="shared" ca="1" si="1"/>
        <v>2</v>
      </c>
    </row>
    <row r="78" spans="1:15" ht="12.75">
      <c r="A78" s="50" t="str">
        <f ca="1">IFERROR(__xludf.DUMMYFUNCTION("""COMPUTED_VALUE"""),"CD51")</f>
        <v>CD51</v>
      </c>
      <c r="B78" s="77" t="str">
        <f ca="1">IFERROR(__xludf.DUMMYFUNCTION("""COMPUTED_VALUE"""),"06510112")</f>
        <v>06510112</v>
      </c>
      <c r="C78" s="48" t="str">
        <f ca="1">IFERROR(__xludf.DUMMYFUNCTION("""COMPUTED_VALUE"""),"CHALONS-EN-CHAMPAGNE TT")</f>
        <v>CHALONS-EN-CHAMPAGNE TT</v>
      </c>
      <c r="D78" s="46">
        <f ca="1">IFERROR(__xludf.DUMMYFUNCTION("""COMPUTED_VALUE"""),1)</f>
        <v>1</v>
      </c>
      <c r="E78" s="46">
        <f ca="1">IFERROR(__xludf.DUMMYFUNCTION("""COMPUTED_VALUE"""),0)</f>
        <v>0</v>
      </c>
      <c r="F78" s="46">
        <f ca="1">IFERROR(__xludf.DUMMYFUNCTION("""COMPUTED_VALUE"""),11)</f>
        <v>11</v>
      </c>
      <c r="G78" s="46">
        <f ca="1">IFERROR(__xludf.DUMMYFUNCTION("""COMPUTED_VALUE"""),1)</f>
        <v>1</v>
      </c>
      <c r="H78" s="46">
        <f ca="1">IFERROR(__xludf.DUMMYFUNCTION("""COMPUTED_VALUE"""),0)</f>
        <v>0</v>
      </c>
      <c r="I78" s="46">
        <f ca="1">IFERROR(__xludf.DUMMYFUNCTION("""COMPUTED_VALUE"""),3)</f>
        <v>3</v>
      </c>
      <c r="J78" s="46">
        <f ca="1">IFERROR(__xludf.DUMMYFUNCTION("""COMPUTED_VALUE"""),0)</f>
        <v>0</v>
      </c>
      <c r="K78" s="46">
        <f ca="1">IFERROR(__xludf.DUMMYFUNCTION("""COMPUTED_VALUE"""),2)</f>
        <v>2</v>
      </c>
      <c r="L78" s="46">
        <f ca="1">IFERROR(__xludf.DUMMYFUNCTION("""COMPUTED_VALUE"""),0)</f>
        <v>0</v>
      </c>
      <c r="M78" s="46">
        <f ca="1">IFERROR(__xludf.DUMMYFUNCTION("""COMPUTED_VALUE"""),0)</f>
        <v>0</v>
      </c>
      <c r="N78" s="46">
        <f ca="1">IFERROR(__xludf.DUMMYFUNCTION("""COMPUTED_VALUE"""),0)</f>
        <v>0</v>
      </c>
      <c r="O78" s="50">
        <f t="shared" ca="1" si="1"/>
        <v>18</v>
      </c>
    </row>
    <row r="79" spans="1:15" ht="12.75">
      <c r="A79" s="50" t="str">
        <f ca="1">IFERROR(__xludf.DUMMYFUNCTION("""COMPUTED_VALUE"""),"CD51")</f>
        <v>CD51</v>
      </c>
      <c r="B79" s="77" t="str">
        <f ca="1">IFERROR(__xludf.DUMMYFUNCTION("""COMPUTED_VALUE"""),"06510114")</f>
        <v>06510114</v>
      </c>
      <c r="C79" s="48" t="str">
        <f ca="1">IFERROR(__xludf.DUMMYFUNCTION("""COMPUTED_VALUE"""),"MOURMELON Tennis de Table")</f>
        <v>MOURMELON Tennis de Table</v>
      </c>
      <c r="D79" s="46">
        <f ca="1">IFERROR(__xludf.DUMMYFUNCTION("""COMPUTED_VALUE"""),0)</f>
        <v>0</v>
      </c>
      <c r="E79" s="46">
        <f ca="1">IFERROR(__xludf.DUMMYFUNCTION("""COMPUTED_VALUE"""),0)</f>
        <v>0</v>
      </c>
      <c r="F79" s="46">
        <f ca="1">IFERROR(__xludf.DUMMYFUNCTION("""COMPUTED_VALUE"""),0)</f>
        <v>0</v>
      </c>
      <c r="G79" s="46">
        <f ca="1">IFERROR(__xludf.DUMMYFUNCTION("""COMPUTED_VALUE"""),0)</f>
        <v>0</v>
      </c>
      <c r="H79" s="46">
        <f ca="1">IFERROR(__xludf.DUMMYFUNCTION("""COMPUTED_VALUE"""),0)</f>
        <v>0</v>
      </c>
      <c r="I79" s="46">
        <f ca="1">IFERROR(__xludf.DUMMYFUNCTION("""COMPUTED_VALUE"""),0)</f>
        <v>0</v>
      </c>
      <c r="J79" s="46">
        <f ca="1">IFERROR(__xludf.DUMMYFUNCTION("""COMPUTED_VALUE"""),0)</f>
        <v>0</v>
      </c>
      <c r="K79" s="46">
        <f ca="1">IFERROR(__xludf.DUMMYFUNCTION("""COMPUTED_VALUE"""),0)</f>
        <v>0</v>
      </c>
      <c r="L79" s="46">
        <f ca="1">IFERROR(__xludf.DUMMYFUNCTION("""COMPUTED_VALUE"""),0)</f>
        <v>0</v>
      </c>
      <c r="M79" s="46">
        <f ca="1">IFERROR(__xludf.DUMMYFUNCTION("""COMPUTED_VALUE"""),0)</f>
        <v>0</v>
      </c>
      <c r="N79" s="46">
        <f ca="1">IFERROR(__xludf.DUMMYFUNCTION("""COMPUTED_VALUE"""),0)</f>
        <v>0</v>
      </c>
      <c r="O79" s="50">
        <f t="shared" ca="1" si="1"/>
        <v>0</v>
      </c>
    </row>
    <row r="80" spans="1:15" ht="12.75">
      <c r="A80" s="50" t="str">
        <f ca="1">IFERROR(__xludf.DUMMYFUNCTION("""COMPUTED_VALUE"""),"CD51")</f>
        <v>CD51</v>
      </c>
      <c r="B80" s="77" t="str">
        <f ca="1">IFERROR(__xludf.DUMMYFUNCTION("""COMPUTED_VALUE"""),"06510115")</f>
        <v>06510115</v>
      </c>
      <c r="C80" s="48" t="str">
        <f ca="1">IFERROR(__xludf.DUMMYFUNCTION("""COMPUTED_VALUE"""),"REIMS AMICALE JAMIN")</f>
        <v>REIMS AMICALE JAMIN</v>
      </c>
      <c r="D80" s="46">
        <f ca="1">IFERROR(__xludf.DUMMYFUNCTION("""COMPUTED_VALUE"""),0)</f>
        <v>0</v>
      </c>
      <c r="E80" s="46">
        <f ca="1">IFERROR(__xludf.DUMMYFUNCTION("""COMPUTED_VALUE"""),0)</f>
        <v>0</v>
      </c>
      <c r="F80" s="46">
        <f ca="1">IFERROR(__xludf.DUMMYFUNCTION("""COMPUTED_VALUE"""),0)</f>
        <v>0</v>
      </c>
      <c r="G80" s="46">
        <f ca="1">IFERROR(__xludf.DUMMYFUNCTION("""COMPUTED_VALUE"""),0)</f>
        <v>0</v>
      </c>
      <c r="H80" s="46">
        <f ca="1">IFERROR(__xludf.DUMMYFUNCTION("""COMPUTED_VALUE"""),0)</f>
        <v>0</v>
      </c>
      <c r="I80" s="46">
        <f ca="1">IFERROR(__xludf.DUMMYFUNCTION("""COMPUTED_VALUE"""),0)</f>
        <v>0</v>
      </c>
      <c r="J80" s="46">
        <f ca="1">IFERROR(__xludf.DUMMYFUNCTION("""COMPUTED_VALUE"""),0)</f>
        <v>0</v>
      </c>
      <c r="K80" s="46">
        <f ca="1">IFERROR(__xludf.DUMMYFUNCTION("""COMPUTED_VALUE"""),0)</f>
        <v>0</v>
      </c>
      <c r="L80" s="46">
        <f ca="1">IFERROR(__xludf.DUMMYFUNCTION("""COMPUTED_VALUE"""),0)</f>
        <v>0</v>
      </c>
      <c r="M80" s="46">
        <f ca="1">IFERROR(__xludf.DUMMYFUNCTION("""COMPUTED_VALUE"""),0)</f>
        <v>0</v>
      </c>
      <c r="N80" s="46">
        <f ca="1">IFERROR(__xludf.DUMMYFUNCTION("""COMPUTED_VALUE"""),0)</f>
        <v>0</v>
      </c>
      <c r="O80" s="50">
        <f t="shared" ca="1" si="1"/>
        <v>0</v>
      </c>
    </row>
    <row r="81" spans="1:15" ht="12.75">
      <c r="A81" s="50" t="str">
        <f ca="1">IFERROR(__xludf.DUMMYFUNCTION("""COMPUTED_VALUE"""),"CD51")</f>
        <v>CD51</v>
      </c>
      <c r="B81" s="77" t="str">
        <f ca="1">IFERROR(__xludf.DUMMYFUNCTION("""COMPUTED_VALUE"""),"06510117")</f>
        <v>06510117</v>
      </c>
      <c r="C81" s="48" t="str">
        <f ca="1">IFERROR(__xludf.DUMMYFUNCTION("""COMPUTED_VALUE"""),"WARMERIVILLE Tennis de Table")</f>
        <v>WARMERIVILLE Tennis de Table</v>
      </c>
      <c r="D81" s="46">
        <f ca="1">IFERROR(__xludf.DUMMYFUNCTION("""COMPUTED_VALUE"""),0)</f>
        <v>0</v>
      </c>
      <c r="E81" s="46">
        <f ca="1">IFERROR(__xludf.DUMMYFUNCTION("""COMPUTED_VALUE"""),0)</f>
        <v>0</v>
      </c>
      <c r="F81" s="46">
        <f ca="1">IFERROR(__xludf.DUMMYFUNCTION("""COMPUTED_VALUE"""),0)</f>
        <v>0</v>
      </c>
      <c r="G81" s="46">
        <f ca="1">IFERROR(__xludf.DUMMYFUNCTION("""COMPUTED_VALUE"""),0)</f>
        <v>0</v>
      </c>
      <c r="H81" s="46">
        <f ca="1">IFERROR(__xludf.DUMMYFUNCTION("""COMPUTED_VALUE"""),0)</f>
        <v>0</v>
      </c>
      <c r="I81" s="46">
        <f ca="1">IFERROR(__xludf.DUMMYFUNCTION("""COMPUTED_VALUE"""),0)</f>
        <v>0</v>
      </c>
      <c r="J81" s="46">
        <f ca="1">IFERROR(__xludf.DUMMYFUNCTION("""COMPUTED_VALUE"""),0)</f>
        <v>0</v>
      </c>
      <c r="K81" s="46">
        <f ca="1">IFERROR(__xludf.DUMMYFUNCTION("""COMPUTED_VALUE"""),0)</f>
        <v>0</v>
      </c>
      <c r="L81" s="46">
        <f ca="1">IFERROR(__xludf.DUMMYFUNCTION("""COMPUTED_VALUE"""),0)</f>
        <v>0</v>
      </c>
      <c r="M81" s="46">
        <f ca="1">IFERROR(__xludf.DUMMYFUNCTION("""COMPUTED_VALUE"""),0)</f>
        <v>0</v>
      </c>
      <c r="N81" s="46">
        <f ca="1">IFERROR(__xludf.DUMMYFUNCTION("""COMPUTED_VALUE"""),0)</f>
        <v>0</v>
      </c>
      <c r="O81" s="50">
        <f t="shared" ca="1" si="1"/>
        <v>0</v>
      </c>
    </row>
    <row r="82" spans="1:15" ht="12.75">
      <c r="A82" s="50" t="str">
        <f ca="1">IFERROR(__xludf.DUMMYFUNCTION("""COMPUTED_VALUE"""),"CD52")</f>
        <v>CD52</v>
      </c>
      <c r="B82" s="77" t="str">
        <f ca="1">IFERROR(__xludf.DUMMYFUNCTION("""COMPUTED_VALUE"""),"06520001")</f>
        <v>06520001</v>
      </c>
      <c r="C82" s="48" t="str">
        <f ca="1">IFERROR(__xludf.DUMMYFUNCTION("""COMPUTED_VALUE"""),"ST DIZIER CSB")</f>
        <v>ST DIZIER CSB</v>
      </c>
      <c r="D82" s="46">
        <f ca="1">IFERROR(__xludf.DUMMYFUNCTION("""COMPUTED_VALUE"""),1)</f>
        <v>1</v>
      </c>
      <c r="E82" s="46">
        <f ca="1">IFERROR(__xludf.DUMMYFUNCTION("""COMPUTED_VALUE"""),0)</f>
        <v>0</v>
      </c>
      <c r="F82" s="46">
        <f ca="1">IFERROR(__xludf.DUMMYFUNCTION("""COMPUTED_VALUE"""),1)</f>
        <v>1</v>
      </c>
      <c r="G82" s="46">
        <f ca="1">IFERROR(__xludf.DUMMYFUNCTION("""COMPUTED_VALUE"""),0)</f>
        <v>0</v>
      </c>
      <c r="H82" s="46">
        <f ca="1">IFERROR(__xludf.DUMMYFUNCTION("""COMPUTED_VALUE"""),0)</f>
        <v>0</v>
      </c>
      <c r="I82" s="46">
        <f ca="1">IFERROR(__xludf.DUMMYFUNCTION("""COMPUTED_VALUE"""),1)</f>
        <v>1</v>
      </c>
      <c r="J82" s="46">
        <f ca="1">IFERROR(__xludf.DUMMYFUNCTION("""COMPUTED_VALUE"""),0)</f>
        <v>0</v>
      </c>
      <c r="K82" s="46">
        <f ca="1">IFERROR(__xludf.DUMMYFUNCTION("""COMPUTED_VALUE"""),0)</f>
        <v>0</v>
      </c>
      <c r="L82" s="46">
        <f ca="1">IFERROR(__xludf.DUMMYFUNCTION("""COMPUTED_VALUE"""),0)</f>
        <v>0</v>
      </c>
      <c r="M82" s="46">
        <f ca="1">IFERROR(__xludf.DUMMYFUNCTION("""COMPUTED_VALUE"""),0)</f>
        <v>0</v>
      </c>
      <c r="N82" s="46">
        <f ca="1">IFERROR(__xludf.DUMMYFUNCTION("""COMPUTED_VALUE"""),0)</f>
        <v>0</v>
      </c>
      <c r="O82" s="50">
        <f t="shared" ca="1" si="1"/>
        <v>3</v>
      </c>
    </row>
    <row r="83" spans="1:15" ht="12.75">
      <c r="A83" s="50" t="str">
        <f ca="1">IFERROR(__xludf.DUMMYFUNCTION("""COMPUTED_VALUE"""),"CD52")</f>
        <v>CD52</v>
      </c>
      <c r="B83" s="77" t="str">
        <f ca="1">IFERROR(__xludf.DUMMYFUNCTION("""COMPUTED_VALUE"""),"06520002")</f>
        <v>06520002</v>
      </c>
      <c r="C83" s="48" t="str">
        <f ca="1">IFERROR(__xludf.DUMMYFUNCTION("""COMPUTED_VALUE"""),"CHALINDREY CS")</f>
        <v>CHALINDREY CS</v>
      </c>
      <c r="D83" s="46">
        <f ca="1">IFERROR(__xludf.DUMMYFUNCTION("""COMPUTED_VALUE"""),1)</f>
        <v>1</v>
      </c>
      <c r="E83" s="46">
        <f ca="1">IFERROR(__xludf.DUMMYFUNCTION("""COMPUTED_VALUE"""),0)</f>
        <v>0</v>
      </c>
      <c r="F83" s="46">
        <f ca="1">IFERROR(__xludf.DUMMYFUNCTION("""COMPUTED_VALUE"""),2)</f>
        <v>2</v>
      </c>
      <c r="G83" s="46">
        <f ca="1">IFERROR(__xludf.DUMMYFUNCTION("""COMPUTED_VALUE"""),0)</f>
        <v>0</v>
      </c>
      <c r="H83" s="46">
        <f ca="1">IFERROR(__xludf.DUMMYFUNCTION("""COMPUTED_VALUE"""),0)</f>
        <v>0</v>
      </c>
      <c r="I83" s="46">
        <f ca="1">IFERROR(__xludf.DUMMYFUNCTION("""COMPUTED_VALUE"""),1)</f>
        <v>1</v>
      </c>
      <c r="J83" s="46">
        <f ca="1">IFERROR(__xludf.DUMMYFUNCTION("""COMPUTED_VALUE"""),0)</f>
        <v>0</v>
      </c>
      <c r="K83" s="46">
        <f ca="1">IFERROR(__xludf.DUMMYFUNCTION("""COMPUTED_VALUE"""),0)</f>
        <v>0</v>
      </c>
      <c r="L83" s="46">
        <f ca="1">IFERROR(__xludf.DUMMYFUNCTION("""COMPUTED_VALUE"""),0)</f>
        <v>0</v>
      </c>
      <c r="M83" s="46">
        <f ca="1">IFERROR(__xludf.DUMMYFUNCTION("""COMPUTED_VALUE"""),0)</f>
        <v>0</v>
      </c>
      <c r="N83" s="46">
        <f ca="1">IFERROR(__xludf.DUMMYFUNCTION("""COMPUTED_VALUE"""),0)</f>
        <v>0</v>
      </c>
      <c r="O83" s="50">
        <f t="shared" ca="1" si="1"/>
        <v>4</v>
      </c>
    </row>
    <row r="84" spans="1:15" ht="12.75">
      <c r="A84" s="50" t="str">
        <f ca="1">IFERROR(__xludf.DUMMYFUNCTION("""COMPUTED_VALUE"""),"CD52")</f>
        <v>CD52</v>
      </c>
      <c r="B84" s="77" t="str">
        <f ca="1">IFERROR(__xludf.DUMMYFUNCTION("""COMPUTED_VALUE"""),"06520003")</f>
        <v>06520003</v>
      </c>
      <c r="C84" s="48" t="str">
        <f ca="1">IFERROR(__xludf.DUMMYFUNCTION("""COMPUTED_VALUE"""),"EURVILLE BIENVILLE Jeunes")</f>
        <v>EURVILLE BIENVILLE Jeunes</v>
      </c>
      <c r="D84" s="46">
        <f ca="1">IFERROR(__xludf.DUMMYFUNCTION("""COMPUTED_VALUE"""),1)</f>
        <v>1</v>
      </c>
      <c r="E84" s="46">
        <f ca="1">IFERROR(__xludf.DUMMYFUNCTION("""COMPUTED_VALUE"""),0)</f>
        <v>0</v>
      </c>
      <c r="F84" s="46">
        <f ca="1">IFERROR(__xludf.DUMMYFUNCTION("""COMPUTED_VALUE"""),7)</f>
        <v>7</v>
      </c>
      <c r="G84" s="46">
        <f ca="1">IFERROR(__xludf.DUMMYFUNCTION("""COMPUTED_VALUE"""),0)</f>
        <v>0</v>
      </c>
      <c r="H84" s="46">
        <f ca="1">IFERROR(__xludf.DUMMYFUNCTION("""COMPUTED_VALUE"""),0)</f>
        <v>0</v>
      </c>
      <c r="I84" s="46">
        <f ca="1">IFERROR(__xludf.DUMMYFUNCTION("""COMPUTED_VALUE"""),4)</f>
        <v>4</v>
      </c>
      <c r="J84" s="46">
        <f ca="1">IFERROR(__xludf.DUMMYFUNCTION("""COMPUTED_VALUE"""),2)</f>
        <v>2</v>
      </c>
      <c r="K84" s="46">
        <f ca="1">IFERROR(__xludf.DUMMYFUNCTION("""COMPUTED_VALUE"""),0)</f>
        <v>0</v>
      </c>
      <c r="L84" s="46">
        <f ca="1">IFERROR(__xludf.DUMMYFUNCTION("""COMPUTED_VALUE"""),0)</f>
        <v>0</v>
      </c>
      <c r="M84" s="46">
        <f ca="1">IFERROR(__xludf.DUMMYFUNCTION("""COMPUTED_VALUE"""),0)</f>
        <v>0</v>
      </c>
      <c r="N84" s="46">
        <f ca="1">IFERROR(__xludf.DUMMYFUNCTION("""COMPUTED_VALUE"""),0)</f>
        <v>0</v>
      </c>
      <c r="O84" s="50">
        <f t="shared" ca="1" si="1"/>
        <v>14</v>
      </c>
    </row>
    <row r="85" spans="1:15" ht="12.75">
      <c r="A85" s="50" t="str">
        <f ca="1">IFERROR(__xludf.DUMMYFUNCTION("""COMPUTED_VALUE"""),"CD52")</f>
        <v>CD52</v>
      </c>
      <c r="B85" s="77" t="str">
        <f ca="1">IFERROR(__xludf.DUMMYFUNCTION("""COMPUTED_VALUE"""),"06520004")</f>
        <v>06520004</v>
      </c>
      <c r="C85" s="48" t="str">
        <f ca="1">IFERROR(__xludf.DUMMYFUNCTION("""COMPUTED_VALUE"""),"CHANCENAY-SLO TT")</f>
        <v>CHANCENAY-SLO TT</v>
      </c>
      <c r="D85" s="46">
        <f ca="1">IFERROR(__xludf.DUMMYFUNCTION("""COMPUTED_VALUE"""),0)</f>
        <v>0</v>
      </c>
      <c r="E85" s="46">
        <f ca="1">IFERROR(__xludf.DUMMYFUNCTION("""COMPUTED_VALUE"""),0)</f>
        <v>0</v>
      </c>
      <c r="F85" s="46">
        <f ca="1">IFERROR(__xludf.DUMMYFUNCTION("""COMPUTED_VALUE"""),2)</f>
        <v>2</v>
      </c>
      <c r="G85" s="46">
        <f ca="1">IFERROR(__xludf.DUMMYFUNCTION("""COMPUTED_VALUE"""),0)</f>
        <v>0</v>
      </c>
      <c r="H85" s="46">
        <f ca="1">IFERROR(__xludf.DUMMYFUNCTION("""COMPUTED_VALUE"""),0)</f>
        <v>0</v>
      </c>
      <c r="I85" s="46">
        <f ca="1">IFERROR(__xludf.DUMMYFUNCTION("""COMPUTED_VALUE"""),2)</f>
        <v>2</v>
      </c>
      <c r="J85" s="46">
        <f ca="1">IFERROR(__xludf.DUMMYFUNCTION("""COMPUTED_VALUE"""),0)</f>
        <v>0</v>
      </c>
      <c r="K85" s="46">
        <f ca="1">IFERROR(__xludf.DUMMYFUNCTION("""COMPUTED_VALUE"""),0)</f>
        <v>0</v>
      </c>
      <c r="L85" s="46">
        <f ca="1">IFERROR(__xludf.DUMMYFUNCTION("""COMPUTED_VALUE"""),0)</f>
        <v>0</v>
      </c>
      <c r="M85" s="46">
        <f ca="1">IFERROR(__xludf.DUMMYFUNCTION("""COMPUTED_VALUE"""),0)</f>
        <v>0</v>
      </c>
      <c r="N85" s="46">
        <f ca="1">IFERROR(__xludf.DUMMYFUNCTION("""COMPUTED_VALUE"""),0)</f>
        <v>0</v>
      </c>
      <c r="O85" s="50">
        <f t="shared" ca="1" si="1"/>
        <v>4</v>
      </c>
    </row>
    <row r="86" spans="1:15" ht="12.75">
      <c r="A86" s="50" t="str">
        <f ca="1">IFERROR(__xludf.DUMMYFUNCTION("""COMPUTED_VALUE"""),"CD52")</f>
        <v>CD52</v>
      </c>
      <c r="B86" s="77" t="str">
        <f ca="1">IFERROR(__xludf.DUMMYFUNCTION("""COMPUTED_VALUE"""),"06520022")</f>
        <v>06520022</v>
      </c>
      <c r="C86" s="48" t="str">
        <f ca="1">IFERROR(__xludf.DUMMYFUNCTION("""COMPUTED_VALUE"""),"CHAUMONT ECAC")</f>
        <v>CHAUMONT ECAC</v>
      </c>
      <c r="D86" s="46">
        <f ca="1">IFERROR(__xludf.DUMMYFUNCTION("""COMPUTED_VALUE"""),0)</f>
        <v>0</v>
      </c>
      <c r="E86" s="46">
        <f ca="1">IFERROR(__xludf.DUMMYFUNCTION("""COMPUTED_VALUE"""),0)</f>
        <v>0</v>
      </c>
      <c r="F86" s="46">
        <f ca="1">IFERROR(__xludf.DUMMYFUNCTION("""COMPUTED_VALUE"""),3)</f>
        <v>3</v>
      </c>
      <c r="G86" s="46">
        <f ca="1">IFERROR(__xludf.DUMMYFUNCTION("""COMPUTED_VALUE"""),0)</f>
        <v>0</v>
      </c>
      <c r="H86" s="46">
        <f ca="1">IFERROR(__xludf.DUMMYFUNCTION("""COMPUTED_VALUE"""),0)</f>
        <v>0</v>
      </c>
      <c r="I86" s="46">
        <f ca="1">IFERROR(__xludf.DUMMYFUNCTION("""COMPUTED_VALUE"""),0)</f>
        <v>0</v>
      </c>
      <c r="J86" s="46">
        <f ca="1">IFERROR(__xludf.DUMMYFUNCTION("""COMPUTED_VALUE"""),3)</f>
        <v>3</v>
      </c>
      <c r="K86" s="46">
        <f ca="1">IFERROR(__xludf.DUMMYFUNCTION("""COMPUTED_VALUE"""),0)</f>
        <v>0</v>
      </c>
      <c r="L86" s="46">
        <f ca="1">IFERROR(__xludf.DUMMYFUNCTION("""COMPUTED_VALUE"""),0)</f>
        <v>0</v>
      </c>
      <c r="M86" s="46">
        <f ca="1">IFERROR(__xludf.DUMMYFUNCTION("""COMPUTED_VALUE"""),0)</f>
        <v>0</v>
      </c>
      <c r="N86" s="46">
        <f ca="1">IFERROR(__xludf.DUMMYFUNCTION("""COMPUTED_VALUE"""),0)</f>
        <v>0</v>
      </c>
      <c r="O86" s="50">
        <f t="shared" ca="1" si="1"/>
        <v>6</v>
      </c>
    </row>
    <row r="87" spans="1:15" ht="12.75">
      <c r="A87" s="50" t="str">
        <f ca="1">IFERROR(__xludf.DUMMYFUNCTION("""COMPUTED_VALUE"""),"CD52")</f>
        <v>CD52</v>
      </c>
      <c r="B87" s="77" t="str">
        <f ca="1">IFERROR(__xludf.DUMMYFUNCTION("""COMPUTED_VALUE"""),"06520047")</f>
        <v>06520047</v>
      </c>
      <c r="C87" s="48" t="str">
        <f ca="1">IFERROR(__xludf.DUMMYFUNCTION("""COMPUTED_VALUE"""),"MONTIGNY LE ROI AJP")</f>
        <v>MONTIGNY LE ROI AJP</v>
      </c>
      <c r="D87" s="46">
        <f ca="1">IFERROR(__xludf.DUMMYFUNCTION("""COMPUTED_VALUE"""),0)</f>
        <v>0</v>
      </c>
      <c r="E87" s="46">
        <f ca="1">IFERROR(__xludf.DUMMYFUNCTION("""COMPUTED_VALUE"""),0)</f>
        <v>0</v>
      </c>
      <c r="F87" s="46">
        <f ca="1">IFERROR(__xludf.DUMMYFUNCTION("""COMPUTED_VALUE"""),2)</f>
        <v>2</v>
      </c>
      <c r="G87" s="46">
        <f ca="1">IFERROR(__xludf.DUMMYFUNCTION("""COMPUTED_VALUE"""),0)</f>
        <v>0</v>
      </c>
      <c r="H87" s="46">
        <f ca="1">IFERROR(__xludf.DUMMYFUNCTION("""COMPUTED_VALUE"""),0)</f>
        <v>0</v>
      </c>
      <c r="I87" s="46">
        <f ca="1">IFERROR(__xludf.DUMMYFUNCTION("""COMPUTED_VALUE"""),1)</f>
        <v>1</v>
      </c>
      <c r="J87" s="46">
        <f ca="1">IFERROR(__xludf.DUMMYFUNCTION("""COMPUTED_VALUE"""),1)</f>
        <v>1</v>
      </c>
      <c r="K87" s="46">
        <f ca="1">IFERROR(__xludf.DUMMYFUNCTION("""COMPUTED_VALUE"""),0)</f>
        <v>0</v>
      </c>
      <c r="L87" s="46">
        <f ca="1">IFERROR(__xludf.DUMMYFUNCTION("""COMPUTED_VALUE"""),0)</f>
        <v>0</v>
      </c>
      <c r="M87" s="46">
        <f ca="1">IFERROR(__xludf.DUMMYFUNCTION("""COMPUTED_VALUE"""),0)</f>
        <v>0</v>
      </c>
      <c r="N87" s="46">
        <f ca="1">IFERROR(__xludf.DUMMYFUNCTION("""COMPUTED_VALUE"""),0)</f>
        <v>0</v>
      </c>
      <c r="O87" s="50">
        <f t="shared" ca="1" si="1"/>
        <v>4</v>
      </c>
    </row>
    <row r="88" spans="1:15" ht="12.75">
      <c r="A88" s="50" t="str">
        <f ca="1">IFERROR(__xludf.DUMMYFUNCTION("""COMPUTED_VALUE"""),"CD52")</f>
        <v>CD52</v>
      </c>
      <c r="B88" s="77" t="str">
        <f ca="1">IFERROR(__xludf.DUMMYFUNCTION("""COMPUTED_VALUE"""),"06520054")</f>
        <v>06520054</v>
      </c>
      <c r="C88" s="48" t="str">
        <f ca="1">IFERROR(__xludf.DUMMYFUNCTION("""COMPUTED_VALUE"""),"NOGENT ASNTT")</f>
        <v>NOGENT ASNTT</v>
      </c>
      <c r="D88" s="46">
        <f ca="1">IFERROR(__xludf.DUMMYFUNCTION("""COMPUTED_VALUE"""),0)</f>
        <v>0</v>
      </c>
      <c r="E88" s="46">
        <f ca="1">IFERROR(__xludf.DUMMYFUNCTION("""COMPUTED_VALUE"""),0)</f>
        <v>0</v>
      </c>
      <c r="F88" s="46">
        <f ca="1">IFERROR(__xludf.DUMMYFUNCTION("""COMPUTED_VALUE"""),2)</f>
        <v>2</v>
      </c>
      <c r="G88" s="46">
        <f ca="1">IFERROR(__xludf.DUMMYFUNCTION("""COMPUTED_VALUE"""),0)</f>
        <v>0</v>
      </c>
      <c r="H88" s="46">
        <f ca="1">IFERROR(__xludf.DUMMYFUNCTION("""COMPUTED_VALUE"""),0)</f>
        <v>0</v>
      </c>
      <c r="I88" s="46">
        <f ca="1">IFERROR(__xludf.DUMMYFUNCTION("""COMPUTED_VALUE"""),1)</f>
        <v>1</v>
      </c>
      <c r="J88" s="46">
        <f ca="1">IFERROR(__xludf.DUMMYFUNCTION("""COMPUTED_VALUE"""),1)</f>
        <v>1</v>
      </c>
      <c r="K88" s="46">
        <f ca="1">IFERROR(__xludf.DUMMYFUNCTION("""COMPUTED_VALUE"""),0)</f>
        <v>0</v>
      </c>
      <c r="L88" s="46">
        <f ca="1">IFERROR(__xludf.DUMMYFUNCTION("""COMPUTED_VALUE"""),0)</f>
        <v>0</v>
      </c>
      <c r="M88" s="46">
        <f ca="1">IFERROR(__xludf.DUMMYFUNCTION("""COMPUTED_VALUE"""),0)</f>
        <v>0</v>
      </c>
      <c r="N88" s="46">
        <f ca="1">IFERROR(__xludf.DUMMYFUNCTION("""COMPUTED_VALUE"""),0)</f>
        <v>0</v>
      </c>
      <c r="O88" s="50">
        <f t="shared" ca="1" si="1"/>
        <v>4</v>
      </c>
    </row>
    <row r="89" spans="1:15" ht="12.75">
      <c r="A89" s="50" t="str">
        <f ca="1">IFERROR(__xludf.DUMMYFUNCTION("""COMPUTED_VALUE"""),"CD52")</f>
        <v>CD52</v>
      </c>
      <c r="B89" s="77" t="str">
        <f ca="1">IFERROR(__xludf.DUMMYFUNCTION("""COMPUTED_VALUE"""),"06520055")</f>
        <v>06520055</v>
      </c>
      <c r="C89" s="48" t="str">
        <f ca="1">IFERROR(__xludf.DUMMYFUNCTION("""COMPUTED_VALUE"""),"JOINVILLE TENNIS DE TABLE")</f>
        <v>JOINVILLE TENNIS DE TABLE</v>
      </c>
      <c r="D89" s="46">
        <f ca="1">IFERROR(__xludf.DUMMYFUNCTION("""COMPUTED_VALUE"""),0)</f>
        <v>0</v>
      </c>
      <c r="E89" s="46">
        <f ca="1">IFERROR(__xludf.DUMMYFUNCTION("""COMPUTED_VALUE"""),0)</f>
        <v>0</v>
      </c>
      <c r="F89" s="46">
        <f ca="1">IFERROR(__xludf.DUMMYFUNCTION("""COMPUTED_VALUE"""),0)</f>
        <v>0</v>
      </c>
      <c r="G89" s="46">
        <f ca="1">IFERROR(__xludf.DUMMYFUNCTION("""COMPUTED_VALUE"""),0)</f>
        <v>0</v>
      </c>
      <c r="H89" s="46">
        <f ca="1">IFERROR(__xludf.DUMMYFUNCTION("""COMPUTED_VALUE"""),0)</f>
        <v>0</v>
      </c>
      <c r="I89" s="46">
        <f ca="1">IFERROR(__xludf.DUMMYFUNCTION("""COMPUTED_VALUE"""),0)</f>
        <v>0</v>
      </c>
      <c r="J89" s="46">
        <f ca="1">IFERROR(__xludf.DUMMYFUNCTION("""COMPUTED_VALUE"""),0)</f>
        <v>0</v>
      </c>
      <c r="K89" s="46">
        <f ca="1">IFERROR(__xludf.DUMMYFUNCTION("""COMPUTED_VALUE"""),0)</f>
        <v>0</v>
      </c>
      <c r="L89" s="46">
        <f ca="1">IFERROR(__xludf.DUMMYFUNCTION("""COMPUTED_VALUE"""),0)</f>
        <v>0</v>
      </c>
      <c r="M89" s="46">
        <f ca="1">IFERROR(__xludf.DUMMYFUNCTION("""COMPUTED_VALUE"""),0)</f>
        <v>0</v>
      </c>
      <c r="N89" s="46">
        <f ca="1">IFERROR(__xludf.DUMMYFUNCTION("""COMPUTED_VALUE"""),0)</f>
        <v>0</v>
      </c>
      <c r="O89" s="50">
        <f t="shared" ca="1" si="1"/>
        <v>0</v>
      </c>
    </row>
    <row r="90" spans="1:15" ht="12.75">
      <c r="A90" s="50" t="str">
        <f ca="1">IFERROR(__xludf.DUMMYFUNCTION("""COMPUTED_VALUE"""),"CD52")</f>
        <v>CD52</v>
      </c>
      <c r="B90" s="77" t="str">
        <f ca="1">IFERROR(__xludf.DUMMYFUNCTION("""COMPUTED_VALUE"""),"06520057")</f>
        <v>06520057</v>
      </c>
      <c r="C90" s="48" t="str">
        <f ca="1">IFERROR(__xludf.DUMMYFUNCTION("""COMPUTED_VALUE"""),"Tennis de Table Breuvannais")</f>
        <v>Tennis de Table Breuvannais</v>
      </c>
      <c r="D90" s="46">
        <f ca="1">IFERROR(__xludf.DUMMYFUNCTION("""COMPUTED_VALUE"""),0)</f>
        <v>0</v>
      </c>
      <c r="E90" s="46">
        <f ca="1">IFERROR(__xludf.DUMMYFUNCTION("""COMPUTED_VALUE"""),0)</f>
        <v>0</v>
      </c>
      <c r="F90" s="46">
        <f ca="1">IFERROR(__xludf.DUMMYFUNCTION("""COMPUTED_VALUE"""),1)</f>
        <v>1</v>
      </c>
      <c r="G90" s="46">
        <f ca="1">IFERROR(__xludf.DUMMYFUNCTION("""COMPUTED_VALUE"""),0)</f>
        <v>0</v>
      </c>
      <c r="H90" s="46">
        <f ca="1">IFERROR(__xludf.DUMMYFUNCTION("""COMPUTED_VALUE"""),0)</f>
        <v>0</v>
      </c>
      <c r="I90" s="46">
        <f ca="1">IFERROR(__xludf.DUMMYFUNCTION("""COMPUTED_VALUE"""),1)</f>
        <v>1</v>
      </c>
      <c r="J90" s="46">
        <f ca="1">IFERROR(__xludf.DUMMYFUNCTION("""COMPUTED_VALUE"""),0)</f>
        <v>0</v>
      </c>
      <c r="K90" s="46">
        <f ca="1">IFERROR(__xludf.DUMMYFUNCTION("""COMPUTED_VALUE"""),0)</f>
        <v>0</v>
      </c>
      <c r="L90" s="46">
        <f ca="1">IFERROR(__xludf.DUMMYFUNCTION("""COMPUTED_VALUE"""),0)</f>
        <v>0</v>
      </c>
      <c r="M90" s="46">
        <f ca="1">IFERROR(__xludf.DUMMYFUNCTION("""COMPUTED_VALUE"""),0)</f>
        <v>0</v>
      </c>
      <c r="N90" s="46">
        <f ca="1">IFERROR(__xludf.DUMMYFUNCTION("""COMPUTED_VALUE"""),0)</f>
        <v>0</v>
      </c>
      <c r="O90" s="50">
        <f t="shared" ca="1" si="1"/>
        <v>2</v>
      </c>
    </row>
    <row r="91" spans="1:15" ht="12.75">
      <c r="A91" s="50" t="str">
        <f ca="1">IFERROR(__xludf.DUMMYFUNCTION("""COMPUTED_VALUE"""),"CD54")</f>
        <v>CD54</v>
      </c>
      <c r="B91" s="77" t="str">
        <f ca="1">IFERROR(__xludf.DUMMYFUNCTION("""COMPUTED_VALUE"""),"06540001")</f>
        <v>06540001</v>
      </c>
      <c r="C91" s="48" t="str">
        <f ca="1">IFERROR(__xludf.DUMMYFUNCTION("""COMPUTED_VALUE"""),"BLAINVILLE DAMELEVIERES AC")</f>
        <v>BLAINVILLE DAMELEVIERES AC</v>
      </c>
      <c r="D91" s="46">
        <f ca="1">IFERROR(__xludf.DUMMYFUNCTION("""COMPUTED_VALUE"""),0)</f>
        <v>0</v>
      </c>
      <c r="E91" s="46">
        <f ca="1">IFERROR(__xludf.DUMMYFUNCTION("""COMPUTED_VALUE"""),1)</f>
        <v>1</v>
      </c>
      <c r="F91" s="46">
        <f ca="1">IFERROR(__xludf.DUMMYFUNCTION("""COMPUTED_VALUE"""),4)</f>
        <v>4</v>
      </c>
      <c r="G91" s="46">
        <f ca="1">IFERROR(__xludf.DUMMYFUNCTION("""COMPUTED_VALUE"""),0)</f>
        <v>0</v>
      </c>
      <c r="H91" s="46">
        <f ca="1">IFERROR(__xludf.DUMMYFUNCTION("""COMPUTED_VALUE"""),0)</f>
        <v>0</v>
      </c>
      <c r="I91" s="46">
        <f ca="1">IFERROR(__xludf.DUMMYFUNCTION("""COMPUTED_VALUE"""),1)</f>
        <v>1</v>
      </c>
      <c r="J91" s="46">
        <f ca="1">IFERROR(__xludf.DUMMYFUNCTION("""COMPUTED_VALUE"""),1)</f>
        <v>1</v>
      </c>
      <c r="K91" s="46">
        <f ca="1">IFERROR(__xludf.DUMMYFUNCTION("""COMPUTED_VALUE"""),0)</f>
        <v>0</v>
      </c>
      <c r="L91" s="46">
        <f ca="1">IFERROR(__xludf.DUMMYFUNCTION("""COMPUTED_VALUE"""),0)</f>
        <v>0</v>
      </c>
      <c r="M91" s="46">
        <f ca="1">IFERROR(__xludf.DUMMYFUNCTION("""COMPUTED_VALUE"""),0)</f>
        <v>0</v>
      </c>
      <c r="N91" s="46">
        <f ca="1">IFERROR(__xludf.DUMMYFUNCTION("""COMPUTED_VALUE"""),0)</f>
        <v>0</v>
      </c>
      <c r="O91" s="50">
        <f t="shared" ca="1" si="1"/>
        <v>7</v>
      </c>
    </row>
    <row r="92" spans="1:15" ht="12.75">
      <c r="A92" s="50" t="str">
        <f ca="1">IFERROR(__xludf.DUMMYFUNCTION("""COMPUTED_VALUE"""),"CD54")</f>
        <v>CD54</v>
      </c>
      <c r="B92" s="77" t="str">
        <f ca="1">IFERROR(__xludf.DUMMYFUNCTION("""COMPUTED_VALUE"""),"06540007")</f>
        <v>06540007</v>
      </c>
      <c r="C92" s="48" t="str">
        <f ca="1">IFERROR(__xludf.DUMMYFUNCTION("""COMPUTED_VALUE"""),"BRIEY U.S. Tennis de Table")</f>
        <v>BRIEY U.S. Tennis de Table</v>
      </c>
      <c r="D92" s="46">
        <f ca="1">IFERROR(__xludf.DUMMYFUNCTION("""COMPUTED_VALUE"""),0)</f>
        <v>0</v>
      </c>
      <c r="E92" s="46">
        <f ca="1">IFERROR(__xludf.DUMMYFUNCTION("""COMPUTED_VALUE"""),0)</f>
        <v>0</v>
      </c>
      <c r="F92" s="46">
        <f ca="1">IFERROR(__xludf.DUMMYFUNCTION("""COMPUTED_VALUE"""),3)</f>
        <v>3</v>
      </c>
      <c r="G92" s="46">
        <f ca="1">IFERROR(__xludf.DUMMYFUNCTION("""COMPUTED_VALUE"""),0)</f>
        <v>0</v>
      </c>
      <c r="H92" s="46">
        <f ca="1">IFERROR(__xludf.DUMMYFUNCTION("""COMPUTED_VALUE"""),0)</f>
        <v>0</v>
      </c>
      <c r="I92" s="46">
        <f ca="1">IFERROR(__xludf.DUMMYFUNCTION("""COMPUTED_VALUE"""),2)</f>
        <v>2</v>
      </c>
      <c r="J92" s="46">
        <f ca="1">IFERROR(__xludf.DUMMYFUNCTION("""COMPUTED_VALUE"""),0)</f>
        <v>0</v>
      </c>
      <c r="K92" s="46">
        <f ca="1">IFERROR(__xludf.DUMMYFUNCTION("""COMPUTED_VALUE"""),0)</f>
        <v>0</v>
      </c>
      <c r="L92" s="46">
        <f ca="1">IFERROR(__xludf.DUMMYFUNCTION("""COMPUTED_VALUE"""),0)</f>
        <v>0</v>
      </c>
      <c r="M92" s="46">
        <f ca="1">IFERROR(__xludf.DUMMYFUNCTION("""COMPUTED_VALUE"""),0)</f>
        <v>0</v>
      </c>
      <c r="N92" s="46">
        <f ca="1">IFERROR(__xludf.DUMMYFUNCTION("""COMPUTED_VALUE"""),0)</f>
        <v>0</v>
      </c>
      <c r="O92" s="50">
        <f t="shared" ca="1" si="1"/>
        <v>5</v>
      </c>
    </row>
    <row r="93" spans="1:15" ht="12.75">
      <c r="A93" s="50" t="str">
        <f ca="1">IFERROR(__xludf.DUMMYFUNCTION("""COMPUTED_VALUE"""),"CD54")</f>
        <v>CD54</v>
      </c>
      <c r="B93" s="77" t="str">
        <f ca="1">IFERROR(__xludf.DUMMYFUNCTION("""COMPUTED_VALUE"""),"06540008")</f>
        <v>06540008</v>
      </c>
      <c r="C93" s="48" t="str">
        <f ca="1">IFERROR(__xludf.DUMMYFUNCTION("""COMPUTED_VALUE"""),"ESSEY-SEICHAMPS T.T.")</f>
        <v>ESSEY-SEICHAMPS T.T.</v>
      </c>
      <c r="D93" s="46">
        <f ca="1">IFERROR(__xludf.DUMMYFUNCTION("""COMPUTED_VALUE"""),0)</f>
        <v>0</v>
      </c>
      <c r="E93" s="46">
        <f ca="1">IFERROR(__xludf.DUMMYFUNCTION("""COMPUTED_VALUE"""),0)</f>
        <v>0</v>
      </c>
      <c r="F93" s="46">
        <f ca="1">IFERROR(__xludf.DUMMYFUNCTION("""COMPUTED_VALUE"""),4)</f>
        <v>4</v>
      </c>
      <c r="G93" s="46">
        <f ca="1">IFERROR(__xludf.DUMMYFUNCTION("""COMPUTED_VALUE"""),0)</f>
        <v>0</v>
      </c>
      <c r="H93" s="46">
        <f ca="1">IFERROR(__xludf.DUMMYFUNCTION("""COMPUTED_VALUE"""),0)</f>
        <v>0</v>
      </c>
      <c r="I93" s="46">
        <f ca="1">IFERROR(__xludf.DUMMYFUNCTION("""COMPUTED_VALUE"""),3)</f>
        <v>3</v>
      </c>
      <c r="J93" s="46">
        <f ca="1">IFERROR(__xludf.DUMMYFUNCTION("""COMPUTED_VALUE"""),0)</f>
        <v>0</v>
      </c>
      <c r="K93" s="46">
        <f ca="1">IFERROR(__xludf.DUMMYFUNCTION("""COMPUTED_VALUE"""),0)</f>
        <v>0</v>
      </c>
      <c r="L93" s="46">
        <f ca="1">IFERROR(__xludf.DUMMYFUNCTION("""COMPUTED_VALUE"""),0)</f>
        <v>0</v>
      </c>
      <c r="M93" s="46">
        <f ca="1">IFERROR(__xludf.DUMMYFUNCTION("""COMPUTED_VALUE"""),0)</f>
        <v>0</v>
      </c>
      <c r="N93" s="46">
        <f ca="1">IFERROR(__xludf.DUMMYFUNCTION("""COMPUTED_VALUE"""),0)</f>
        <v>0</v>
      </c>
      <c r="O93" s="50">
        <f t="shared" ca="1" si="1"/>
        <v>7</v>
      </c>
    </row>
    <row r="94" spans="1:15" ht="12.75">
      <c r="A94" s="50" t="str">
        <f ca="1">IFERROR(__xludf.DUMMYFUNCTION("""COMPUTED_VALUE"""),"CD54")</f>
        <v>CD54</v>
      </c>
      <c r="B94" s="77" t="str">
        <f ca="1">IFERROR(__xludf.DUMMYFUNCTION("""COMPUTED_VALUE"""),"06540010")</f>
        <v>06540010</v>
      </c>
      <c r="C94" s="48" t="str">
        <f ca="1">IFERROR(__xludf.DUMMYFUNCTION("""COMPUTED_VALUE"""),"FOUG C.P.")</f>
        <v>FOUG C.P.</v>
      </c>
      <c r="D94" s="46">
        <f ca="1">IFERROR(__xludf.DUMMYFUNCTION("""COMPUTED_VALUE"""),13)</f>
        <v>13</v>
      </c>
      <c r="E94" s="46">
        <f ca="1">IFERROR(__xludf.DUMMYFUNCTION("""COMPUTED_VALUE"""),0)</f>
        <v>0</v>
      </c>
      <c r="F94" s="46">
        <f ca="1">IFERROR(__xludf.DUMMYFUNCTION("""COMPUTED_VALUE"""),3)</f>
        <v>3</v>
      </c>
      <c r="G94" s="46">
        <f ca="1">IFERROR(__xludf.DUMMYFUNCTION("""COMPUTED_VALUE"""),0)</f>
        <v>0</v>
      </c>
      <c r="H94" s="46">
        <f ca="1">IFERROR(__xludf.DUMMYFUNCTION("""COMPUTED_VALUE"""),0)</f>
        <v>0</v>
      </c>
      <c r="I94" s="46">
        <f ca="1">IFERROR(__xludf.DUMMYFUNCTION("""COMPUTED_VALUE"""),1)</f>
        <v>1</v>
      </c>
      <c r="J94" s="46">
        <f ca="1">IFERROR(__xludf.DUMMYFUNCTION("""COMPUTED_VALUE"""),2)</f>
        <v>2</v>
      </c>
      <c r="K94" s="46">
        <f ca="1">IFERROR(__xludf.DUMMYFUNCTION("""COMPUTED_VALUE"""),0)</f>
        <v>0</v>
      </c>
      <c r="L94" s="46">
        <f ca="1">IFERROR(__xludf.DUMMYFUNCTION("""COMPUTED_VALUE"""),0)</f>
        <v>0</v>
      </c>
      <c r="M94" s="46">
        <f ca="1">IFERROR(__xludf.DUMMYFUNCTION("""COMPUTED_VALUE"""),0)</f>
        <v>0</v>
      </c>
      <c r="N94" s="46">
        <f ca="1">IFERROR(__xludf.DUMMYFUNCTION("""COMPUTED_VALUE"""),0)</f>
        <v>0</v>
      </c>
      <c r="O94" s="50">
        <f t="shared" ca="1" si="1"/>
        <v>19</v>
      </c>
    </row>
    <row r="95" spans="1:15" ht="12.75">
      <c r="A95" s="50" t="str">
        <f ca="1">IFERROR(__xludf.DUMMYFUNCTION("""COMPUTED_VALUE"""),"CD54")</f>
        <v>CD54</v>
      </c>
      <c r="B95" s="77" t="str">
        <f ca="1">IFERROR(__xludf.DUMMYFUNCTION("""COMPUTED_VALUE"""),"06540011")</f>
        <v>06540011</v>
      </c>
      <c r="C95" s="48" t="str">
        <f ca="1">IFERROR(__xludf.DUMMYFUNCTION("""COMPUTED_VALUE"""),"Frouard O.F.P.")</f>
        <v>Frouard O.F.P.</v>
      </c>
      <c r="D95" s="46">
        <f ca="1">IFERROR(__xludf.DUMMYFUNCTION("""COMPUTED_VALUE"""),2)</f>
        <v>2</v>
      </c>
      <c r="E95" s="46">
        <f ca="1">IFERROR(__xludf.DUMMYFUNCTION("""COMPUTED_VALUE"""),0)</f>
        <v>0</v>
      </c>
      <c r="F95" s="46">
        <f ca="1">IFERROR(__xludf.DUMMYFUNCTION("""COMPUTED_VALUE"""),2)</f>
        <v>2</v>
      </c>
      <c r="G95" s="46">
        <f ca="1">IFERROR(__xludf.DUMMYFUNCTION("""COMPUTED_VALUE"""),0)</f>
        <v>0</v>
      </c>
      <c r="H95" s="46">
        <f ca="1">IFERROR(__xludf.DUMMYFUNCTION("""COMPUTED_VALUE"""),0)</f>
        <v>0</v>
      </c>
      <c r="I95" s="46">
        <f ca="1">IFERROR(__xludf.DUMMYFUNCTION("""COMPUTED_VALUE"""),1)</f>
        <v>1</v>
      </c>
      <c r="J95" s="46">
        <f ca="1">IFERROR(__xludf.DUMMYFUNCTION("""COMPUTED_VALUE"""),1)</f>
        <v>1</v>
      </c>
      <c r="K95" s="46">
        <f ca="1">IFERROR(__xludf.DUMMYFUNCTION("""COMPUTED_VALUE"""),0)</f>
        <v>0</v>
      </c>
      <c r="L95" s="46">
        <f ca="1">IFERROR(__xludf.DUMMYFUNCTION("""COMPUTED_VALUE"""),0)</f>
        <v>0</v>
      </c>
      <c r="M95" s="46">
        <f ca="1">IFERROR(__xludf.DUMMYFUNCTION("""COMPUTED_VALUE"""),0)</f>
        <v>0</v>
      </c>
      <c r="N95" s="46">
        <f ca="1">IFERROR(__xludf.DUMMYFUNCTION("""COMPUTED_VALUE"""),0)</f>
        <v>0</v>
      </c>
      <c r="O95" s="50">
        <f t="shared" ca="1" si="1"/>
        <v>6</v>
      </c>
    </row>
    <row r="96" spans="1:15" ht="12.75">
      <c r="A96" s="50" t="str">
        <f ca="1">IFERROR(__xludf.DUMMYFUNCTION("""COMPUTED_VALUE"""),"CD54")</f>
        <v>CD54</v>
      </c>
      <c r="B96" s="77" t="str">
        <f ca="1">IFERROR(__xludf.DUMMYFUNCTION("""COMPUTED_VALUE"""),"06540014")</f>
        <v>06540014</v>
      </c>
      <c r="C96" s="48" t="str">
        <f ca="1">IFERROR(__xludf.DUMMYFUNCTION("""COMPUTED_VALUE"""),"HERSERANGE ASTT")</f>
        <v>HERSERANGE ASTT</v>
      </c>
      <c r="D96" s="46">
        <f ca="1">IFERROR(__xludf.DUMMYFUNCTION("""COMPUTED_VALUE"""),1)</f>
        <v>1</v>
      </c>
      <c r="E96" s="46">
        <f ca="1">IFERROR(__xludf.DUMMYFUNCTION("""COMPUTED_VALUE"""),0)</f>
        <v>0</v>
      </c>
      <c r="F96" s="46">
        <f ca="1">IFERROR(__xludf.DUMMYFUNCTION("""COMPUTED_VALUE"""),1)</f>
        <v>1</v>
      </c>
      <c r="G96" s="46">
        <f ca="1">IFERROR(__xludf.DUMMYFUNCTION("""COMPUTED_VALUE"""),0)</f>
        <v>0</v>
      </c>
      <c r="H96" s="46">
        <f ca="1">IFERROR(__xludf.DUMMYFUNCTION("""COMPUTED_VALUE"""),0)</f>
        <v>0</v>
      </c>
      <c r="I96" s="46">
        <f ca="1">IFERROR(__xludf.DUMMYFUNCTION("""COMPUTED_VALUE"""),1)</f>
        <v>1</v>
      </c>
      <c r="J96" s="46">
        <f ca="1">IFERROR(__xludf.DUMMYFUNCTION("""COMPUTED_VALUE"""),0)</f>
        <v>0</v>
      </c>
      <c r="K96" s="46">
        <f ca="1">IFERROR(__xludf.DUMMYFUNCTION("""COMPUTED_VALUE"""),0)</f>
        <v>0</v>
      </c>
      <c r="L96" s="46">
        <f ca="1">IFERROR(__xludf.DUMMYFUNCTION("""COMPUTED_VALUE"""),0)</f>
        <v>0</v>
      </c>
      <c r="M96" s="46">
        <f ca="1">IFERROR(__xludf.DUMMYFUNCTION("""COMPUTED_VALUE"""),0)</f>
        <v>0</v>
      </c>
      <c r="N96" s="46">
        <f ca="1">IFERROR(__xludf.DUMMYFUNCTION("""COMPUTED_VALUE"""),0)</f>
        <v>0</v>
      </c>
      <c r="O96" s="50">
        <f t="shared" ca="1" si="1"/>
        <v>3</v>
      </c>
    </row>
    <row r="97" spans="1:15" ht="12.75">
      <c r="A97" s="50" t="str">
        <f ca="1">IFERROR(__xludf.DUMMYFUNCTION("""COMPUTED_VALUE"""),"CD54")</f>
        <v>CD54</v>
      </c>
      <c r="B97" s="77" t="str">
        <f ca="1">IFERROR(__xludf.DUMMYFUNCTION("""COMPUTED_VALUE"""),"06540016")</f>
        <v>06540016</v>
      </c>
      <c r="C97" s="48" t="str">
        <f ca="1">IFERROR(__xludf.DUMMYFUNCTION("""COMPUTED_VALUE"""),"LAXOU AMICALE L.EMILE ZOLA")</f>
        <v>LAXOU AMICALE L.EMILE ZOLA</v>
      </c>
      <c r="D97" s="46">
        <f ca="1">IFERROR(__xludf.DUMMYFUNCTION("""COMPUTED_VALUE"""),0)</f>
        <v>0</v>
      </c>
      <c r="E97" s="46">
        <f ca="1">IFERROR(__xludf.DUMMYFUNCTION("""COMPUTED_VALUE"""),0)</f>
        <v>0</v>
      </c>
      <c r="F97" s="46">
        <f ca="1">IFERROR(__xludf.DUMMYFUNCTION("""COMPUTED_VALUE"""),2)</f>
        <v>2</v>
      </c>
      <c r="G97" s="46">
        <f ca="1">IFERROR(__xludf.DUMMYFUNCTION("""COMPUTED_VALUE"""),0)</f>
        <v>0</v>
      </c>
      <c r="H97" s="46">
        <f ca="1">IFERROR(__xludf.DUMMYFUNCTION("""COMPUTED_VALUE"""),0)</f>
        <v>0</v>
      </c>
      <c r="I97" s="46">
        <f ca="1">IFERROR(__xludf.DUMMYFUNCTION("""COMPUTED_VALUE"""),2)</f>
        <v>2</v>
      </c>
      <c r="J97" s="46">
        <f ca="1">IFERROR(__xludf.DUMMYFUNCTION("""COMPUTED_VALUE"""),0)</f>
        <v>0</v>
      </c>
      <c r="K97" s="46">
        <f ca="1">IFERROR(__xludf.DUMMYFUNCTION("""COMPUTED_VALUE"""),0)</f>
        <v>0</v>
      </c>
      <c r="L97" s="46">
        <f ca="1">IFERROR(__xludf.DUMMYFUNCTION("""COMPUTED_VALUE"""),0)</f>
        <v>0</v>
      </c>
      <c r="M97" s="46">
        <f ca="1">IFERROR(__xludf.DUMMYFUNCTION("""COMPUTED_VALUE"""),0)</f>
        <v>0</v>
      </c>
      <c r="N97" s="46">
        <f ca="1">IFERROR(__xludf.DUMMYFUNCTION("""COMPUTED_VALUE"""),0)</f>
        <v>0</v>
      </c>
      <c r="O97" s="50">
        <f t="shared" ca="1" si="1"/>
        <v>4</v>
      </c>
    </row>
    <row r="98" spans="1:15" ht="12.75">
      <c r="A98" s="50" t="str">
        <f ca="1">IFERROR(__xludf.DUMMYFUNCTION("""COMPUTED_VALUE"""),"CD54")</f>
        <v>CD54</v>
      </c>
      <c r="B98" s="77" t="str">
        <f ca="1">IFERROR(__xludf.DUMMYFUNCTION("""COMPUTED_VALUE"""),"06540019")</f>
        <v>06540019</v>
      </c>
      <c r="C98" s="48" t="str">
        <f ca="1">IFERROR(__xludf.DUMMYFUNCTION("""COMPUTED_VALUE"""),"LONGUYON E.S.L.")</f>
        <v>LONGUYON E.S.L.</v>
      </c>
      <c r="D98" s="46">
        <f ca="1">IFERROR(__xludf.DUMMYFUNCTION("""COMPUTED_VALUE"""),0)</f>
        <v>0</v>
      </c>
      <c r="E98" s="46">
        <f ca="1">IFERROR(__xludf.DUMMYFUNCTION("""COMPUTED_VALUE"""),0)</f>
        <v>0</v>
      </c>
      <c r="F98" s="46">
        <f ca="1">IFERROR(__xludf.DUMMYFUNCTION("""COMPUTED_VALUE"""),0)</f>
        <v>0</v>
      </c>
      <c r="G98" s="46">
        <f ca="1">IFERROR(__xludf.DUMMYFUNCTION("""COMPUTED_VALUE"""),0)</f>
        <v>0</v>
      </c>
      <c r="H98" s="46">
        <f ca="1">IFERROR(__xludf.DUMMYFUNCTION("""COMPUTED_VALUE"""),0)</f>
        <v>0</v>
      </c>
      <c r="I98" s="46">
        <f ca="1">IFERROR(__xludf.DUMMYFUNCTION("""COMPUTED_VALUE"""),0)</f>
        <v>0</v>
      </c>
      <c r="J98" s="46">
        <f ca="1">IFERROR(__xludf.DUMMYFUNCTION("""COMPUTED_VALUE"""),0)</f>
        <v>0</v>
      </c>
      <c r="K98" s="46">
        <f ca="1">IFERROR(__xludf.DUMMYFUNCTION("""COMPUTED_VALUE"""),0)</f>
        <v>0</v>
      </c>
      <c r="L98" s="46">
        <f ca="1">IFERROR(__xludf.DUMMYFUNCTION("""COMPUTED_VALUE"""),0)</f>
        <v>0</v>
      </c>
      <c r="M98" s="46">
        <f ca="1">IFERROR(__xludf.DUMMYFUNCTION("""COMPUTED_VALUE"""),0)</f>
        <v>0</v>
      </c>
      <c r="N98" s="46">
        <f ca="1">IFERROR(__xludf.DUMMYFUNCTION("""COMPUTED_VALUE"""),0)</f>
        <v>0</v>
      </c>
      <c r="O98" s="50">
        <f t="shared" ca="1" si="1"/>
        <v>0</v>
      </c>
    </row>
    <row r="99" spans="1:15" ht="12.75">
      <c r="A99" s="50" t="str">
        <f ca="1">IFERROR(__xludf.DUMMYFUNCTION("""COMPUTED_VALUE"""),"CD54")</f>
        <v>CD54</v>
      </c>
      <c r="B99" s="77" t="str">
        <f ca="1">IFERROR(__xludf.DUMMYFUNCTION("""COMPUTED_VALUE"""),"06540020")</f>
        <v>06540020</v>
      </c>
      <c r="C99" s="48" t="str">
        <f ca="1">IFERROR(__xludf.DUMMYFUNCTION("""COMPUTED_VALUE"""),"DOMBASLE STT")</f>
        <v>DOMBASLE STT</v>
      </c>
      <c r="D99" s="46">
        <f ca="1">IFERROR(__xludf.DUMMYFUNCTION("""COMPUTED_VALUE"""),1)</f>
        <v>1</v>
      </c>
      <c r="E99" s="46">
        <f ca="1">IFERROR(__xludf.DUMMYFUNCTION("""COMPUTED_VALUE"""),0)</f>
        <v>0</v>
      </c>
      <c r="F99" s="46">
        <f ca="1">IFERROR(__xludf.DUMMYFUNCTION("""COMPUTED_VALUE"""),5)</f>
        <v>5</v>
      </c>
      <c r="G99" s="46">
        <f ca="1">IFERROR(__xludf.DUMMYFUNCTION("""COMPUTED_VALUE"""),0)</f>
        <v>0</v>
      </c>
      <c r="H99" s="46">
        <f ca="1">IFERROR(__xludf.DUMMYFUNCTION("""COMPUTED_VALUE"""),0)</f>
        <v>0</v>
      </c>
      <c r="I99" s="46">
        <f ca="1">IFERROR(__xludf.DUMMYFUNCTION("""COMPUTED_VALUE"""),3)</f>
        <v>3</v>
      </c>
      <c r="J99" s="46">
        <f ca="1">IFERROR(__xludf.DUMMYFUNCTION("""COMPUTED_VALUE"""),2)</f>
        <v>2</v>
      </c>
      <c r="K99" s="46">
        <f ca="1">IFERROR(__xludf.DUMMYFUNCTION("""COMPUTED_VALUE"""),0)</f>
        <v>0</v>
      </c>
      <c r="L99" s="46">
        <f ca="1">IFERROR(__xludf.DUMMYFUNCTION("""COMPUTED_VALUE"""),0)</f>
        <v>0</v>
      </c>
      <c r="M99" s="46">
        <f ca="1">IFERROR(__xludf.DUMMYFUNCTION("""COMPUTED_VALUE"""),0)</f>
        <v>0</v>
      </c>
      <c r="N99" s="46">
        <f ca="1">IFERROR(__xludf.DUMMYFUNCTION("""COMPUTED_VALUE"""),0)</f>
        <v>0</v>
      </c>
      <c r="O99" s="50">
        <f t="shared" ca="1" si="1"/>
        <v>11</v>
      </c>
    </row>
    <row r="100" spans="1:15" ht="12.75">
      <c r="A100" s="50" t="str">
        <f ca="1">IFERROR(__xludf.DUMMYFUNCTION("""COMPUTED_VALUE"""),"CD54")</f>
        <v>CD54</v>
      </c>
      <c r="B100" s="77" t="str">
        <f ca="1">IFERROR(__xludf.DUMMYFUNCTION("""COMPUTED_VALUE"""),"06540021")</f>
        <v>06540021</v>
      </c>
      <c r="C100" s="48" t="str">
        <f ca="1">IFERROR(__xludf.DUMMYFUNCTION("""COMPUTED_VALUE"""),"LUNEVILLE A.L.T.T.")</f>
        <v>LUNEVILLE A.L.T.T.</v>
      </c>
      <c r="D100" s="46">
        <f ca="1">IFERROR(__xludf.DUMMYFUNCTION("""COMPUTED_VALUE"""),11)</f>
        <v>11</v>
      </c>
      <c r="E100" s="46">
        <f ca="1">IFERROR(__xludf.DUMMYFUNCTION("""COMPUTED_VALUE"""),0)</f>
        <v>0</v>
      </c>
      <c r="F100" s="46">
        <f ca="1">IFERROR(__xludf.DUMMYFUNCTION("""COMPUTED_VALUE"""),5)</f>
        <v>5</v>
      </c>
      <c r="G100" s="46">
        <f ca="1">IFERROR(__xludf.DUMMYFUNCTION("""COMPUTED_VALUE"""),0)</f>
        <v>0</v>
      </c>
      <c r="H100" s="46">
        <f ca="1">IFERROR(__xludf.DUMMYFUNCTION("""COMPUTED_VALUE"""),0)</f>
        <v>0</v>
      </c>
      <c r="I100" s="46">
        <f ca="1">IFERROR(__xludf.DUMMYFUNCTION("""COMPUTED_VALUE"""),2)</f>
        <v>2</v>
      </c>
      <c r="J100" s="46">
        <f ca="1">IFERROR(__xludf.DUMMYFUNCTION("""COMPUTED_VALUE"""),1)</f>
        <v>1</v>
      </c>
      <c r="K100" s="46">
        <f ca="1">IFERROR(__xludf.DUMMYFUNCTION("""COMPUTED_VALUE"""),1)</f>
        <v>1</v>
      </c>
      <c r="L100" s="46">
        <f ca="1">IFERROR(__xludf.DUMMYFUNCTION("""COMPUTED_VALUE"""),0)</f>
        <v>0</v>
      </c>
      <c r="M100" s="46">
        <f ca="1">IFERROR(__xludf.DUMMYFUNCTION("""COMPUTED_VALUE"""),0)</f>
        <v>0</v>
      </c>
      <c r="N100" s="46">
        <f ca="1">IFERROR(__xludf.DUMMYFUNCTION("""COMPUTED_VALUE"""),0)</f>
        <v>0</v>
      </c>
      <c r="O100" s="50">
        <f t="shared" ca="1" si="1"/>
        <v>20</v>
      </c>
    </row>
    <row r="101" spans="1:15" ht="12.75">
      <c r="A101" s="50" t="str">
        <f ca="1">IFERROR(__xludf.DUMMYFUNCTION("""COMPUTED_VALUE"""),"CD54")</f>
        <v>CD54</v>
      </c>
      <c r="B101" s="77" t="str">
        <f ca="1">IFERROR(__xludf.DUMMYFUNCTION("""COMPUTED_VALUE"""),"06540028")</f>
        <v>06540028</v>
      </c>
      <c r="C101" s="48" t="str">
        <f ca="1">IFERROR(__xludf.DUMMYFUNCTION("""COMPUTED_VALUE"""),"NANCY ASPTT-JARVILLE Jeune")</f>
        <v>NANCY ASPTT-JARVILLE Jeune</v>
      </c>
      <c r="D101" s="46">
        <f ca="1">IFERROR(__xludf.DUMMYFUNCTION("""COMPUTED_VALUE"""),0)</f>
        <v>0</v>
      </c>
      <c r="E101" s="46">
        <f ca="1">IFERROR(__xludf.DUMMYFUNCTION("""COMPUTED_VALUE"""),0)</f>
        <v>0</v>
      </c>
      <c r="F101" s="46">
        <f ca="1">IFERROR(__xludf.DUMMYFUNCTION("""COMPUTED_VALUE"""),1)</f>
        <v>1</v>
      </c>
      <c r="G101" s="46">
        <f ca="1">IFERROR(__xludf.DUMMYFUNCTION("""COMPUTED_VALUE"""),0)</f>
        <v>0</v>
      </c>
      <c r="H101" s="46">
        <f ca="1">IFERROR(__xludf.DUMMYFUNCTION("""COMPUTED_VALUE"""),1)</f>
        <v>1</v>
      </c>
      <c r="I101" s="46">
        <f ca="1">IFERROR(__xludf.DUMMYFUNCTION("""COMPUTED_VALUE"""),0)</f>
        <v>0</v>
      </c>
      <c r="J101" s="46">
        <f ca="1">IFERROR(__xludf.DUMMYFUNCTION("""COMPUTED_VALUE"""),0)</f>
        <v>0</v>
      </c>
      <c r="K101" s="46">
        <f ca="1">IFERROR(__xludf.DUMMYFUNCTION("""COMPUTED_VALUE"""),1)</f>
        <v>1</v>
      </c>
      <c r="L101" s="46">
        <f ca="1">IFERROR(__xludf.DUMMYFUNCTION("""COMPUTED_VALUE"""),0)</f>
        <v>0</v>
      </c>
      <c r="M101" s="46">
        <f ca="1">IFERROR(__xludf.DUMMYFUNCTION("""COMPUTED_VALUE"""),0)</f>
        <v>0</v>
      </c>
      <c r="N101" s="46">
        <f ca="1">IFERROR(__xludf.DUMMYFUNCTION("""COMPUTED_VALUE"""),1)</f>
        <v>1</v>
      </c>
      <c r="O101" s="50">
        <f t="shared" ca="1" si="1"/>
        <v>4</v>
      </c>
    </row>
    <row r="102" spans="1:15" ht="12.75">
      <c r="A102" s="50" t="str">
        <f ca="1">IFERROR(__xludf.DUMMYFUNCTION("""COMPUTED_VALUE"""),"CD54")</f>
        <v>CD54</v>
      </c>
      <c r="B102" s="77" t="str">
        <f ca="1">IFERROR(__xludf.DUMMYFUNCTION("""COMPUTED_VALUE"""),"06540032")</f>
        <v>06540032</v>
      </c>
      <c r="C102" s="48" t="str">
        <f ca="1">IFERROR(__xludf.DUMMYFUNCTION("""COMPUTED_VALUE"""),"NEUVES MAISONS TT")</f>
        <v>NEUVES MAISONS TT</v>
      </c>
      <c r="D102" s="46">
        <f ca="1">IFERROR(__xludf.DUMMYFUNCTION("""COMPUTED_VALUE"""),4)</f>
        <v>4</v>
      </c>
      <c r="E102" s="46">
        <f ca="1">IFERROR(__xludf.DUMMYFUNCTION("""COMPUTED_VALUE"""),0)</f>
        <v>0</v>
      </c>
      <c r="F102" s="46">
        <f ca="1">IFERROR(__xludf.DUMMYFUNCTION("""COMPUTED_VALUE"""),11)</f>
        <v>11</v>
      </c>
      <c r="G102" s="46">
        <f ca="1">IFERROR(__xludf.DUMMYFUNCTION("""COMPUTED_VALUE"""),0)</f>
        <v>0</v>
      </c>
      <c r="H102" s="46">
        <f ca="1">IFERROR(__xludf.DUMMYFUNCTION("""COMPUTED_VALUE"""),0)</f>
        <v>0</v>
      </c>
      <c r="I102" s="46">
        <f ca="1">IFERROR(__xludf.DUMMYFUNCTION("""COMPUTED_VALUE"""),3)</f>
        <v>3</v>
      </c>
      <c r="J102" s="46">
        <f ca="1">IFERROR(__xludf.DUMMYFUNCTION("""COMPUTED_VALUE"""),0)</f>
        <v>0</v>
      </c>
      <c r="K102" s="46">
        <f ca="1">IFERROR(__xludf.DUMMYFUNCTION("""COMPUTED_VALUE"""),0)</f>
        <v>0</v>
      </c>
      <c r="L102" s="46">
        <f ca="1">IFERROR(__xludf.DUMMYFUNCTION("""COMPUTED_VALUE"""),0)</f>
        <v>0</v>
      </c>
      <c r="M102" s="46">
        <f ca="1">IFERROR(__xludf.DUMMYFUNCTION("""COMPUTED_VALUE"""),0)</f>
        <v>0</v>
      </c>
      <c r="N102" s="46">
        <f ca="1">IFERROR(__xludf.DUMMYFUNCTION("""COMPUTED_VALUE"""),0)</f>
        <v>0</v>
      </c>
      <c r="O102" s="50">
        <f t="shared" ca="1" si="1"/>
        <v>18</v>
      </c>
    </row>
    <row r="103" spans="1:15" ht="12.75">
      <c r="A103" s="50" t="str">
        <f ca="1">IFERROR(__xludf.DUMMYFUNCTION("""COMPUTED_VALUE"""),"CD54")</f>
        <v>CD54</v>
      </c>
      <c r="B103" s="77" t="str">
        <f ca="1">IFERROR(__xludf.DUMMYFUNCTION("""COMPUTED_VALUE"""),"06540034")</f>
        <v>06540034</v>
      </c>
      <c r="C103" s="48" t="str">
        <f ca="1">IFERROR(__xludf.DUMMYFUNCTION("""COMPUTED_VALUE"""),"SAINT MAX T.T.H.R.")</f>
        <v>SAINT MAX T.T.H.R.</v>
      </c>
      <c r="D103" s="46">
        <f ca="1">IFERROR(__xludf.DUMMYFUNCTION("""COMPUTED_VALUE"""),1)</f>
        <v>1</v>
      </c>
      <c r="E103" s="46">
        <f ca="1">IFERROR(__xludf.DUMMYFUNCTION("""COMPUTED_VALUE"""),1)</f>
        <v>1</v>
      </c>
      <c r="F103" s="46">
        <f ca="1">IFERROR(__xludf.DUMMYFUNCTION("""COMPUTED_VALUE"""),2)</f>
        <v>2</v>
      </c>
      <c r="G103" s="46">
        <f ca="1">IFERROR(__xludf.DUMMYFUNCTION("""COMPUTED_VALUE"""),0)</f>
        <v>0</v>
      </c>
      <c r="H103" s="46">
        <f ca="1">IFERROR(__xludf.DUMMYFUNCTION("""COMPUTED_VALUE"""),0)</f>
        <v>0</v>
      </c>
      <c r="I103" s="46">
        <f ca="1">IFERROR(__xludf.DUMMYFUNCTION("""COMPUTED_VALUE"""),2)</f>
        <v>2</v>
      </c>
      <c r="J103" s="46">
        <f ca="1">IFERROR(__xludf.DUMMYFUNCTION("""COMPUTED_VALUE"""),0)</f>
        <v>0</v>
      </c>
      <c r="K103" s="46">
        <f ca="1">IFERROR(__xludf.DUMMYFUNCTION("""COMPUTED_VALUE"""),0)</f>
        <v>0</v>
      </c>
      <c r="L103" s="46">
        <f ca="1">IFERROR(__xludf.DUMMYFUNCTION("""COMPUTED_VALUE"""),0)</f>
        <v>0</v>
      </c>
      <c r="M103" s="46">
        <f ca="1">IFERROR(__xludf.DUMMYFUNCTION("""COMPUTED_VALUE"""),0)</f>
        <v>0</v>
      </c>
      <c r="N103" s="46">
        <f ca="1">IFERROR(__xludf.DUMMYFUNCTION("""COMPUTED_VALUE"""),0)</f>
        <v>0</v>
      </c>
      <c r="O103" s="50">
        <f t="shared" ca="1" si="1"/>
        <v>6</v>
      </c>
    </row>
    <row r="104" spans="1:15" ht="12.75">
      <c r="A104" s="50" t="str">
        <f ca="1">IFERROR(__xludf.DUMMYFUNCTION("""COMPUTED_VALUE"""),"CD54")</f>
        <v>CD54</v>
      </c>
      <c r="B104" s="77" t="str">
        <f ca="1">IFERROR(__xludf.DUMMYFUNCTION("""COMPUTED_VALUE"""),"06540036")</f>
        <v>06540036</v>
      </c>
      <c r="C104" s="48" t="str">
        <f ca="1">IFERROR(__xludf.DUMMYFUNCTION("""COMPUTED_VALUE"""),"TOUL ECROUVES ASCTT")</f>
        <v>TOUL ECROUVES ASCTT</v>
      </c>
      <c r="D104" s="46">
        <f ca="1">IFERROR(__xludf.DUMMYFUNCTION("""COMPUTED_VALUE"""),0)</f>
        <v>0</v>
      </c>
      <c r="E104" s="46">
        <f ca="1">IFERROR(__xludf.DUMMYFUNCTION("""COMPUTED_VALUE"""),0)</f>
        <v>0</v>
      </c>
      <c r="F104" s="46">
        <f ca="1">IFERROR(__xludf.DUMMYFUNCTION("""COMPUTED_VALUE"""),1)</f>
        <v>1</v>
      </c>
      <c r="G104" s="46">
        <f ca="1">IFERROR(__xludf.DUMMYFUNCTION("""COMPUTED_VALUE"""),0)</f>
        <v>0</v>
      </c>
      <c r="H104" s="46">
        <f ca="1">IFERROR(__xludf.DUMMYFUNCTION("""COMPUTED_VALUE"""),0)</f>
        <v>0</v>
      </c>
      <c r="I104" s="46">
        <f ca="1">IFERROR(__xludf.DUMMYFUNCTION("""COMPUTED_VALUE"""),0)</f>
        <v>0</v>
      </c>
      <c r="J104" s="46">
        <f ca="1">IFERROR(__xludf.DUMMYFUNCTION("""COMPUTED_VALUE"""),1)</f>
        <v>1</v>
      </c>
      <c r="K104" s="46">
        <f ca="1">IFERROR(__xludf.DUMMYFUNCTION("""COMPUTED_VALUE"""),0)</f>
        <v>0</v>
      </c>
      <c r="L104" s="46">
        <f ca="1">IFERROR(__xludf.DUMMYFUNCTION("""COMPUTED_VALUE"""),0)</f>
        <v>0</v>
      </c>
      <c r="M104" s="46">
        <f ca="1">IFERROR(__xludf.DUMMYFUNCTION("""COMPUTED_VALUE"""),0)</f>
        <v>0</v>
      </c>
      <c r="N104" s="46">
        <f ca="1">IFERROR(__xludf.DUMMYFUNCTION("""COMPUTED_VALUE"""),0)</f>
        <v>0</v>
      </c>
      <c r="O104" s="50">
        <f t="shared" ca="1" si="1"/>
        <v>2</v>
      </c>
    </row>
    <row r="105" spans="1:15" ht="12.75">
      <c r="A105" s="50" t="str">
        <f ca="1">IFERROR(__xludf.DUMMYFUNCTION("""COMPUTED_VALUE"""),"CD54")</f>
        <v>CD54</v>
      </c>
      <c r="B105" s="77" t="str">
        <f ca="1">IFERROR(__xludf.DUMMYFUNCTION("""COMPUTED_VALUE"""),"06540040")</f>
        <v>06540040</v>
      </c>
      <c r="C105" s="48" t="str">
        <f ca="1">IFERROR(__xludf.DUMMYFUNCTION("""COMPUTED_VALUE"""),"VILLERS LES NANCY C.O.S.")</f>
        <v>VILLERS LES NANCY C.O.S.</v>
      </c>
      <c r="D105" s="46">
        <f ca="1">IFERROR(__xludf.DUMMYFUNCTION("""COMPUTED_VALUE"""),12)</f>
        <v>12</v>
      </c>
      <c r="E105" s="46">
        <f ca="1">IFERROR(__xludf.DUMMYFUNCTION("""COMPUTED_VALUE"""),0)</f>
        <v>0</v>
      </c>
      <c r="F105" s="46">
        <f ca="1">IFERROR(__xludf.DUMMYFUNCTION("""COMPUTED_VALUE"""),12)</f>
        <v>12</v>
      </c>
      <c r="G105" s="46">
        <f ca="1">IFERROR(__xludf.DUMMYFUNCTION("""COMPUTED_VALUE"""),1)</f>
        <v>1</v>
      </c>
      <c r="H105" s="46">
        <f ca="1">IFERROR(__xludf.DUMMYFUNCTION("""COMPUTED_VALUE"""),1)</f>
        <v>1</v>
      </c>
      <c r="I105" s="46">
        <f ca="1">IFERROR(__xludf.DUMMYFUNCTION("""COMPUTED_VALUE"""),6)</f>
        <v>6</v>
      </c>
      <c r="J105" s="46">
        <f ca="1">IFERROR(__xludf.DUMMYFUNCTION("""COMPUTED_VALUE"""),0)</f>
        <v>0</v>
      </c>
      <c r="K105" s="46">
        <f ca="1">IFERROR(__xludf.DUMMYFUNCTION("""COMPUTED_VALUE"""),1)</f>
        <v>1</v>
      </c>
      <c r="L105" s="46">
        <f ca="1">IFERROR(__xludf.DUMMYFUNCTION("""COMPUTED_VALUE"""),0)</f>
        <v>0</v>
      </c>
      <c r="M105" s="46">
        <f ca="1">IFERROR(__xludf.DUMMYFUNCTION("""COMPUTED_VALUE"""),1)</f>
        <v>1</v>
      </c>
      <c r="N105" s="46">
        <f ca="1">IFERROR(__xludf.DUMMYFUNCTION("""COMPUTED_VALUE"""),2)</f>
        <v>2</v>
      </c>
      <c r="O105" s="50">
        <f t="shared" ca="1" si="1"/>
        <v>36</v>
      </c>
    </row>
    <row r="106" spans="1:15" ht="12.75">
      <c r="A106" s="50" t="str">
        <f ca="1">IFERROR(__xludf.DUMMYFUNCTION("""COMPUTED_VALUE"""),"CD54")</f>
        <v>CD54</v>
      </c>
      <c r="B106" s="77" t="str">
        <f ca="1">IFERROR(__xludf.DUMMYFUNCTION("""COMPUTED_VALUE"""),"06540043")</f>
        <v>06540043</v>
      </c>
      <c r="C106" s="48" t="str">
        <f ca="1">IFERROR(__xludf.DUMMYFUNCTION("""COMPUTED_VALUE"""),"NANCY S.L.U.C.")</f>
        <v>NANCY S.L.U.C.</v>
      </c>
      <c r="D106" s="46">
        <f ca="1">IFERROR(__xludf.DUMMYFUNCTION("""COMPUTED_VALUE"""),1)</f>
        <v>1</v>
      </c>
      <c r="E106" s="46">
        <f ca="1">IFERROR(__xludf.DUMMYFUNCTION("""COMPUTED_VALUE"""),1)</f>
        <v>1</v>
      </c>
      <c r="F106" s="46">
        <f ca="1">IFERROR(__xludf.DUMMYFUNCTION("""COMPUTED_VALUE"""),3)</f>
        <v>3</v>
      </c>
      <c r="G106" s="46">
        <f ca="1">IFERROR(__xludf.DUMMYFUNCTION("""COMPUTED_VALUE"""),0)</f>
        <v>0</v>
      </c>
      <c r="H106" s="46">
        <f ca="1">IFERROR(__xludf.DUMMYFUNCTION("""COMPUTED_VALUE"""),0)</f>
        <v>0</v>
      </c>
      <c r="I106" s="46">
        <f ca="1">IFERROR(__xludf.DUMMYFUNCTION("""COMPUTED_VALUE"""),1)</f>
        <v>1</v>
      </c>
      <c r="J106" s="46">
        <f ca="1">IFERROR(__xludf.DUMMYFUNCTION("""COMPUTED_VALUE"""),0)</f>
        <v>0</v>
      </c>
      <c r="K106" s="46">
        <f ca="1">IFERROR(__xludf.DUMMYFUNCTION("""COMPUTED_VALUE"""),0)</f>
        <v>0</v>
      </c>
      <c r="L106" s="46">
        <f ca="1">IFERROR(__xludf.DUMMYFUNCTION("""COMPUTED_VALUE"""),0)</f>
        <v>0</v>
      </c>
      <c r="M106" s="46">
        <f ca="1">IFERROR(__xludf.DUMMYFUNCTION("""COMPUTED_VALUE"""),0)</f>
        <v>0</v>
      </c>
      <c r="N106" s="46">
        <f ca="1">IFERROR(__xludf.DUMMYFUNCTION("""COMPUTED_VALUE"""),0)</f>
        <v>0</v>
      </c>
      <c r="O106" s="50">
        <f t="shared" ca="1" si="1"/>
        <v>6</v>
      </c>
    </row>
    <row r="107" spans="1:15" ht="12.75">
      <c r="A107" s="50" t="str">
        <f ca="1">IFERROR(__xludf.DUMMYFUNCTION("""COMPUTED_VALUE"""),"CD54")</f>
        <v>CD54</v>
      </c>
      <c r="B107" s="77" t="str">
        <f ca="1">IFERROR(__xludf.DUMMYFUNCTION("""COMPUTED_VALUE"""),"06540047")</f>
        <v>06540047</v>
      </c>
      <c r="C107" s="48" t="str">
        <f ca="1">IFERROR(__xludf.DUMMYFUNCTION("""COMPUTED_VALUE"""),"MALLELOY F.J.E.P.")</f>
        <v>MALLELOY F.J.E.P.</v>
      </c>
      <c r="D107" s="46">
        <f ca="1">IFERROR(__xludf.DUMMYFUNCTION("""COMPUTED_VALUE"""),0)</f>
        <v>0</v>
      </c>
      <c r="E107" s="46">
        <f ca="1">IFERROR(__xludf.DUMMYFUNCTION("""COMPUTED_VALUE"""),0)</f>
        <v>0</v>
      </c>
      <c r="F107" s="46">
        <f ca="1">IFERROR(__xludf.DUMMYFUNCTION("""COMPUTED_VALUE"""),1)</f>
        <v>1</v>
      </c>
      <c r="G107" s="46">
        <f ca="1">IFERROR(__xludf.DUMMYFUNCTION("""COMPUTED_VALUE"""),0)</f>
        <v>0</v>
      </c>
      <c r="H107" s="46">
        <f ca="1">IFERROR(__xludf.DUMMYFUNCTION("""COMPUTED_VALUE"""),0)</f>
        <v>0</v>
      </c>
      <c r="I107" s="46">
        <f ca="1">IFERROR(__xludf.DUMMYFUNCTION("""COMPUTED_VALUE"""),1)</f>
        <v>1</v>
      </c>
      <c r="J107" s="46">
        <f ca="1">IFERROR(__xludf.DUMMYFUNCTION("""COMPUTED_VALUE"""),0)</f>
        <v>0</v>
      </c>
      <c r="K107" s="46">
        <f ca="1">IFERROR(__xludf.DUMMYFUNCTION("""COMPUTED_VALUE"""),0)</f>
        <v>0</v>
      </c>
      <c r="L107" s="46">
        <f ca="1">IFERROR(__xludf.DUMMYFUNCTION("""COMPUTED_VALUE"""),0)</f>
        <v>0</v>
      </c>
      <c r="M107" s="46">
        <f ca="1">IFERROR(__xludf.DUMMYFUNCTION("""COMPUTED_VALUE"""),0)</f>
        <v>0</v>
      </c>
      <c r="N107" s="46">
        <f ca="1">IFERROR(__xludf.DUMMYFUNCTION("""COMPUTED_VALUE"""),0)</f>
        <v>0</v>
      </c>
      <c r="O107" s="50">
        <f t="shared" ca="1" si="1"/>
        <v>2</v>
      </c>
    </row>
    <row r="108" spans="1:15" ht="12.75">
      <c r="A108" s="50" t="str">
        <f ca="1">IFERROR(__xludf.DUMMYFUNCTION("""COMPUTED_VALUE"""),"CD54")</f>
        <v>CD54</v>
      </c>
      <c r="B108" s="77" t="str">
        <f ca="1">IFERROR(__xludf.DUMMYFUNCTION("""COMPUTED_VALUE"""),"06540055")</f>
        <v>06540055</v>
      </c>
      <c r="C108" s="48" t="str">
        <f ca="1">IFERROR(__xludf.DUMMYFUNCTION("""COMPUTED_VALUE"""),"LAY SAINT CHRISTOPHE TTLSC")</f>
        <v>LAY SAINT CHRISTOPHE TTLSC</v>
      </c>
      <c r="D108" s="46">
        <f ca="1">IFERROR(__xludf.DUMMYFUNCTION("""COMPUTED_VALUE"""),0)</f>
        <v>0</v>
      </c>
      <c r="E108" s="46">
        <f ca="1">IFERROR(__xludf.DUMMYFUNCTION("""COMPUTED_VALUE"""),0)</f>
        <v>0</v>
      </c>
      <c r="F108" s="46">
        <f ca="1">IFERROR(__xludf.DUMMYFUNCTION("""COMPUTED_VALUE"""),2)</f>
        <v>2</v>
      </c>
      <c r="G108" s="46">
        <f ca="1">IFERROR(__xludf.DUMMYFUNCTION("""COMPUTED_VALUE"""),0)</f>
        <v>0</v>
      </c>
      <c r="H108" s="46">
        <f ca="1">IFERROR(__xludf.DUMMYFUNCTION("""COMPUTED_VALUE"""),0)</f>
        <v>0</v>
      </c>
      <c r="I108" s="46">
        <f ca="1">IFERROR(__xludf.DUMMYFUNCTION("""COMPUTED_VALUE"""),1)</f>
        <v>1</v>
      </c>
      <c r="J108" s="46">
        <f ca="1">IFERROR(__xludf.DUMMYFUNCTION("""COMPUTED_VALUE"""),1)</f>
        <v>1</v>
      </c>
      <c r="K108" s="46">
        <f ca="1">IFERROR(__xludf.DUMMYFUNCTION("""COMPUTED_VALUE"""),0)</f>
        <v>0</v>
      </c>
      <c r="L108" s="46">
        <f ca="1">IFERROR(__xludf.DUMMYFUNCTION("""COMPUTED_VALUE"""),0)</f>
        <v>0</v>
      </c>
      <c r="M108" s="46">
        <f ca="1">IFERROR(__xludf.DUMMYFUNCTION("""COMPUTED_VALUE"""),0)</f>
        <v>0</v>
      </c>
      <c r="N108" s="46">
        <f ca="1">IFERROR(__xludf.DUMMYFUNCTION("""COMPUTED_VALUE"""),0)</f>
        <v>0</v>
      </c>
      <c r="O108" s="50">
        <f t="shared" ca="1" si="1"/>
        <v>4</v>
      </c>
    </row>
    <row r="109" spans="1:15" ht="12.75">
      <c r="A109" s="50" t="str">
        <f ca="1">IFERROR(__xludf.DUMMYFUNCTION("""COMPUTED_VALUE"""),"CD54")</f>
        <v>CD54</v>
      </c>
      <c r="B109" s="77" t="str">
        <f ca="1">IFERROR(__xludf.DUMMYFUNCTION("""COMPUTED_VALUE"""),"06540056")</f>
        <v>06540056</v>
      </c>
      <c r="C109" s="48" t="str">
        <f ca="1">IFERROR(__xludf.DUMMYFUNCTION("""COMPUTED_VALUE"""),"HEILLECOURT LOISIRS RENCON")</f>
        <v>HEILLECOURT LOISIRS RENCON</v>
      </c>
      <c r="D109" s="46">
        <f ca="1">IFERROR(__xludf.DUMMYFUNCTION("""COMPUTED_VALUE"""),1)</f>
        <v>1</v>
      </c>
      <c r="E109" s="46">
        <f ca="1">IFERROR(__xludf.DUMMYFUNCTION("""COMPUTED_VALUE"""),0)</f>
        <v>0</v>
      </c>
      <c r="F109" s="46">
        <f ca="1">IFERROR(__xludf.DUMMYFUNCTION("""COMPUTED_VALUE"""),1)</f>
        <v>1</v>
      </c>
      <c r="G109" s="46">
        <f ca="1">IFERROR(__xludf.DUMMYFUNCTION("""COMPUTED_VALUE"""),0)</f>
        <v>0</v>
      </c>
      <c r="H109" s="46">
        <f ca="1">IFERROR(__xludf.DUMMYFUNCTION("""COMPUTED_VALUE"""),0)</f>
        <v>0</v>
      </c>
      <c r="I109" s="46">
        <f ca="1">IFERROR(__xludf.DUMMYFUNCTION("""COMPUTED_VALUE"""),1)</f>
        <v>1</v>
      </c>
      <c r="J109" s="46">
        <f ca="1">IFERROR(__xludf.DUMMYFUNCTION("""COMPUTED_VALUE"""),0)</f>
        <v>0</v>
      </c>
      <c r="K109" s="46">
        <f ca="1">IFERROR(__xludf.DUMMYFUNCTION("""COMPUTED_VALUE"""),0)</f>
        <v>0</v>
      </c>
      <c r="L109" s="46">
        <f ca="1">IFERROR(__xludf.DUMMYFUNCTION("""COMPUTED_VALUE"""),0)</f>
        <v>0</v>
      </c>
      <c r="M109" s="46">
        <f ca="1">IFERROR(__xludf.DUMMYFUNCTION("""COMPUTED_VALUE"""),0)</f>
        <v>0</v>
      </c>
      <c r="N109" s="46">
        <f ca="1">IFERROR(__xludf.DUMMYFUNCTION("""COMPUTED_VALUE"""),0)</f>
        <v>0</v>
      </c>
      <c r="O109" s="50">
        <f t="shared" ca="1" si="1"/>
        <v>3</v>
      </c>
    </row>
    <row r="110" spans="1:15" ht="12.75">
      <c r="A110" s="50" t="str">
        <f ca="1">IFERROR(__xludf.DUMMYFUNCTION("""COMPUTED_VALUE"""),"CD54")</f>
        <v>CD54</v>
      </c>
      <c r="B110" s="77" t="str">
        <f ca="1">IFERROR(__xludf.DUMMYFUNCTION("""COMPUTED_VALUE"""),"06540068")</f>
        <v>06540068</v>
      </c>
      <c r="C110" s="48" t="str">
        <f ca="1">IFERROR(__xludf.DUMMYFUNCTION("""COMPUTED_VALUE"""),"DIEULOUARD F.J.E.P.")</f>
        <v>DIEULOUARD F.J.E.P.</v>
      </c>
      <c r="D110" s="46">
        <f ca="1">IFERROR(__xludf.DUMMYFUNCTION("""COMPUTED_VALUE"""),1)</f>
        <v>1</v>
      </c>
      <c r="E110" s="46">
        <f ca="1">IFERROR(__xludf.DUMMYFUNCTION("""COMPUTED_VALUE"""),0)</f>
        <v>0</v>
      </c>
      <c r="F110" s="46">
        <f ca="1">IFERROR(__xludf.DUMMYFUNCTION("""COMPUTED_VALUE"""),0)</f>
        <v>0</v>
      </c>
      <c r="G110" s="46">
        <f ca="1">IFERROR(__xludf.DUMMYFUNCTION("""COMPUTED_VALUE"""),0)</f>
        <v>0</v>
      </c>
      <c r="H110" s="46">
        <f ca="1">IFERROR(__xludf.DUMMYFUNCTION("""COMPUTED_VALUE"""),0)</f>
        <v>0</v>
      </c>
      <c r="I110" s="46">
        <f ca="1">IFERROR(__xludf.DUMMYFUNCTION("""COMPUTED_VALUE"""),0)</f>
        <v>0</v>
      </c>
      <c r="J110" s="46">
        <f ca="1">IFERROR(__xludf.DUMMYFUNCTION("""COMPUTED_VALUE"""),0)</f>
        <v>0</v>
      </c>
      <c r="K110" s="46">
        <f ca="1">IFERROR(__xludf.DUMMYFUNCTION("""COMPUTED_VALUE"""),0)</f>
        <v>0</v>
      </c>
      <c r="L110" s="46">
        <f ca="1">IFERROR(__xludf.DUMMYFUNCTION("""COMPUTED_VALUE"""),0)</f>
        <v>0</v>
      </c>
      <c r="M110" s="46">
        <f ca="1">IFERROR(__xludf.DUMMYFUNCTION("""COMPUTED_VALUE"""),0)</f>
        <v>0</v>
      </c>
      <c r="N110" s="46">
        <f ca="1">IFERROR(__xludf.DUMMYFUNCTION("""COMPUTED_VALUE"""),0)</f>
        <v>0</v>
      </c>
      <c r="O110" s="50">
        <f t="shared" ca="1" si="1"/>
        <v>1</v>
      </c>
    </row>
    <row r="111" spans="1:15" ht="12.75">
      <c r="A111" s="50" t="str">
        <f ca="1">IFERROR(__xludf.DUMMYFUNCTION("""COMPUTED_VALUE"""),"CD54")</f>
        <v>CD54</v>
      </c>
      <c r="B111" s="77" t="str">
        <f ca="1">IFERROR(__xludf.DUMMYFUNCTION("""COMPUTED_VALUE"""),"06540075")</f>
        <v>06540075</v>
      </c>
      <c r="C111" s="48" t="str">
        <f ca="1">IFERROR(__xludf.DUMMYFUNCTION("""COMPUTED_VALUE"""),"BAYON Tennis de Table")</f>
        <v>BAYON Tennis de Table</v>
      </c>
      <c r="D111" s="46">
        <f ca="1">IFERROR(__xludf.DUMMYFUNCTION("""COMPUTED_VALUE"""),0)</f>
        <v>0</v>
      </c>
      <c r="E111" s="46">
        <f ca="1">IFERROR(__xludf.DUMMYFUNCTION("""COMPUTED_VALUE"""),0)</f>
        <v>0</v>
      </c>
      <c r="F111" s="46">
        <f ca="1">IFERROR(__xludf.DUMMYFUNCTION("""COMPUTED_VALUE"""),0)</f>
        <v>0</v>
      </c>
      <c r="G111" s="46">
        <f ca="1">IFERROR(__xludf.DUMMYFUNCTION("""COMPUTED_VALUE"""),0)</f>
        <v>0</v>
      </c>
      <c r="H111" s="46">
        <f ca="1">IFERROR(__xludf.DUMMYFUNCTION("""COMPUTED_VALUE"""),0)</f>
        <v>0</v>
      </c>
      <c r="I111" s="46">
        <f ca="1">IFERROR(__xludf.DUMMYFUNCTION("""COMPUTED_VALUE"""),0)</f>
        <v>0</v>
      </c>
      <c r="J111" s="46">
        <f ca="1">IFERROR(__xludf.DUMMYFUNCTION("""COMPUTED_VALUE"""),0)</f>
        <v>0</v>
      </c>
      <c r="K111" s="46">
        <f ca="1">IFERROR(__xludf.DUMMYFUNCTION("""COMPUTED_VALUE"""),0)</f>
        <v>0</v>
      </c>
      <c r="L111" s="46">
        <f ca="1">IFERROR(__xludf.DUMMYFUNCTION("""COMPUTED_VALUE"""),0)</f>
        <v>0</v>
      </c>
      <c r="M111" s="46">
        <f ca="1">IFERROR(__xludf.DUMMYFUNCTION("""COMPUTED_VALUE"""),0)</f>
        <v>0</v>
      </c>
      <c r="N111" s="46">
        <f ca="1">IFERROR(__xludf.DUMMYFUNCTION("""COMPUTED_VALUE"""),0)</f>
        <v>0</v>
      </c>
      <c r="O111" s="50">
        <f t="shared" ca="1" si="1"/>
        <v>0</v>
      </c>
    </row>
    <row r="112" spans="1:15" ht="12.75">
      <c r="A112" s="50" t="str">
        <f ca="1">IFERROR(__xludf.DUMMYFUNCTION("""COMPUTED_VALUE"""),"CD54")</f>
        <v>CD54</v>
      </c>
      <c r="B112" s="77" t="str">
        <f ca="1">IFERROR(__xludf.DUMMYFUNCTION("""COMPUTED_VALUE"""),"06540082")</f>
        <v>06540082</v>
      </c>
      <c r="C112" s="48" t="str">
        <f ca="1">IFERROR(__xludf.DUMMYFUNCTION("""COMPUTED_VALUE"""),"LUDRES FLAVIGNY TT")</f>
        <v>LUDRES FLAVIGNY TT</v>
      </c>
      <c r="D112" s="46">
        <f ca="1">IFERROR(__xludf.DUMMYFUNCTION("""COMPUTED_VALUE"""),0)</f>
        <v>0</v>
      </c>
      <c r="E112" s="46">
        <f ca="1">IFERROR(__xludf.DUMMYFUNCTION("""COMPUTED_VALUE"""),0)</f>
        <v>0</v>
      </c>
      <c r="F112" s="46">
        <f ca="1">IFERROR(__xludf.DUMMYFUNCTION("""COMPUTED_VALUE"""),1)</f>
        <v>1</v>
      </c>
      <c r="G112" s="46">
        <f ca="1">IFERROR(__xludf.DUMMYFUNCTION("""COMPUTED_VALUE"""),0)</f>
        <v>0</v>
      </c>
      <c r="H112" s="46">
        <f ca="1">IFERROR(__xludf.DUMMYFUNCTION("""COMPUTED_VALUE"""),0)</f>
        <v>0</v>
      </c>
      <c r="I112" s="46">
        <f ca="1">IFERROR(__xludf.DUMMYFUNCTION("""COMPUTED_VALUE"""),1)</f>
        <v>1</v>
      </c>
      <c r="J112" s="46">
        <f ca="1">IFERROR(__xludf.DUMMYFUNCTION("""COMPUTED_VALUE"""),0)</f>
        <v>0</v>
      </c>
      <c r="K112" s="46">
        <f ca="1">IFERROR(__xludf.DUMMYFUNCTION("""COMPUTED_VALUE"""),0)</f>
        <v>0</v>
      </c>
      <c r="L112" s="46">
        <f ca="1">IFERROR(__xludf.DUMMYFUNCTION("""COMPUTED_VALUE"""),0)</f>
        <v>0</v>
      </c>
      <c r="M112" s="46">
        <f ca="1">IFERROR(__xludf.DUMMYFUNCTION("""COMPUTED_VALUE"""),0)</f>
        <v>0</v>
      </c>
      <c r="N112" s="46">
        <f ca="1">IFERROR(__xludf.DUMMYFUNCTION("""COMPUTED_VALUE"""),0)</f>
        <v>0</v>
      </c>
      <c r="O112" s="50">
        <f t="shared" ca="1" si="1"/>
        <v>2</v>
      </c>
    </row>
    <row r="113" spans="1:15" ht="12.75">
      <c r="A113" s="50" t="str">
        <f ca="1">IFERROR(__xludf.DUMMYFUNCTION("""COMPUTED_VALUE"""),"CD54")</f>
        <v>CD54</v>
      </c>
      <c r="B113" s="77" t="str">
        <f ca="1">IFERROR(__xludf.DUMMYFUNCTION("""COMPUTED_VALUE"""),"06540088")</f>
        <v>06540088</v>
      </c>
      <c r="C113" s="48" t="str">
        <f ca="1">IFERROR(__xludf.DUMMYFUNCTION("""COMPUTED_VALUE"""),"CHANTEHEUX TT")</f>
        <v>CHANTEHEUX TT</v>
      </c>
      <c r="D113" s="46">
        <f ca="1">IFERROR(__xludf.DUMMYFUNCTION("""COMPUTED_VALUE"""),3)</f>
        <v>3</v>
      </c>
      <c r="E113" s="46">
        <f ca="1">IFERROR(__xludf.DUMMYFUNCTION("""COMPUTED_VALUE"""),0)</f>
        <v>0</v>
      </c>
      <c r="F113" s="46">
        <f ca="1">IFERROR(__xludf.DUMMYFUNCTION("""COMPUTED_VALUE"""),8)</f>
        <v>8</v>
      </c>
      <c r="G113" s="46">
        <f ca="1">IFERROR(__xludf.DUMMYFUNCTION("""COMPUTED_VALUE"""),0)</f>
        <v>0</v>
      </c>
      <c r="H113" s="46">
        <f ca="1">IFERROR(__xludf.DUMMYFUNCTION("""COMPUTED_VALUE"""),0)</f>
        <v>0</v>
      </c>
      <c r="I113" s="46">
        <f ca="1">IFERROR(__xludf.DUMMYFUNCTION("""COMPUTED_VALUE"""),5)</f>
        <v>5</v>
      </c>
      <c r="J113" s="46">
        <f ca="1">IFERROR(__xludf.DUMMYFUNCTION("""COMPUTED_VALUE"""),2)</f>
        <v>2</v>
      </c>
      <c r="K113" s="46">
        <f ca="1">IFERROR(__xludf.DUMMYFUNCTION("""COMPUTED_VALUE"""),1)</f>
        <v>1</v>
      </c>
      <c r="L113" s="46">
        <f ca="1">IFERROR(__xludf.DUMMYFUNCTION("""COMPUTED_VALUE"""),0)</f>
        <v>0</v>
      </c>
      <c r="M113" s="46">
        <f ca="1">IFERROR(__xludf.DUMMYFUNCTION("""COMPUTED_VALUE"""),0)</f>
        <v>0</v>
      </c>
      <c r="N113" s="46">
        <f ca="1">IFERROR(__xludf.DUMMYFUNCTION("""COMPUTED_VALUE"""),1)</f>
        <v>1</v>
      </c>
      <c r="O113" s="50">
        <f t="shared" ca="1" si="1"/>
        <v>20</v>
      </c>
    </row>
    <row r="114" spans="1:15" ht="12.75">
      <c r="A114" s="50" t="str">
        <f ca="1">IFERROR(__xludf.DUMMYFUNCTION("""COMPUTED_VALUE"""),"CD54")</f>
        <v>CD54</v>
      </c>
      <c r="B114" s="77" t="str">
        <f ca="1">IFERROR(__xludf.DUMMYFUNCTION("""COMPUTED_VALUE"""),"06540097")</f>
        <v>06540097</v>
      </c>
      <c r="C114" s="48" t="str">
        <f ca="1">IFERROR(__xludf.DUMMYFUNCTION("""COMPUTED_VALUE"""),"TIERCELET M.J.C.")</f>
        <v>TIERCELET M.J.C.</v>
      </c>
      <c r="D114" s="46">
        <f ca="1">IFERROR(__xludf.DUMMYFUNCTION("""COMPUTED_VALUE"""),1)</f>
        <v>1</v>
      </c>
      <c r="E114" s="46">
        <f ca="1">IFERROR(__xludf.DUMMYFUNCTION("""COMPUTED_VALUE"""),0)</f>
        <v>0</v>
      </c>
      <c r="F114" s="46">
        <f ca="1">IFERROR(__xludf.DUMMYFUNCTION("""COMPUTED_VALUE"""),0)</f>
        <v>0</v>
      </c>
      <c r="G114" s="46">
        <f ca="1">IFERROR(__xludf.DUMMYFUNCTION("""COMPUTED_VALUE"""),0)</f>
        <v>0</v>
      </c>
      <c r="H114" s="46">
        <f ca="1">IFERROR(__xludf.DUMMYFUNCTION("""COMPUTED_VALUE"""),0)</f>
        <v>0</v>
      </c>
      <c r="I114" s="46">
        <f ca="1">IFERROR(__xludf.DUMMYFUNCTION("""COMPUTED_VALUE"""),0)</f>
        <v>0</v>
      </c>
      <c r="J114" s="46">
        <f ca="1">IFERROR(__xludf.DUMMYFUNCTION("""COMPUTED_VALUE"""),0)</f>
        <v>0</v>
      </c>
      <c r="K114" s="46">
        <f ca="1">IFERROR(__xludf.DUMMYFUNCTION("""COMPUTED_VALUE"""),0)</f>
        <v>0</v>
      </c>
      <c r="L114" s="46">
        <f ca="1">IFERROR(__xludf.DUMMYFUNCTION("""COMPUTED_VALUE"""),0)</f>
        <v>0</v>
      </c>
      <c r="M114" s="46">
        <f ca="1">IFERROR(__xludf.DUMMYFUNCTION("""COMPUTED_VALUE"""),0)</f>
        <v>0</v>
      </c>
      <c r="N114" s="46">
        <f ca="1">IFERROR(__xludf.DUMMYFUNCTION("""COMPUTED_VALUE"""),0)</f>
        <v>0</v>
      </c>
      <c r="O114" s="50">
        <f t="shared" ca="1" si="1"/>
        <v>1</v>
      </c>
    </row>
    <row r="115" spans="1:15" ht="12.75">
      <c r="A115" s="50" t="str">
        <f ca="1">IFERROR(__xludf.DUMMYFUNCTION("""COMPUTED_VALUE"""),"CD54")</f>
        <v>CD54</v>
      </c>
      <c r="B115" s="77" t="str">
        <f ca="1">IFERROR(__xludf.DUMMYFUNCTION("""COMPUTED_VALUE"""),"06540104")</f>
        <v>06540104</v>
      </c>
      <c r="C115" s="48" t="str">
        <f ca="1">IFERROR(__xludf.DUMMYFUNCTION("""COMPUTED_VALUE"""),"AUDUN LE ROMAN ASTT")</f>
        <v>AUDUN LE ROMAN ASTT</v>
      </c>
      <c r="D115" s="46">
        <f ca="1">IFERROR(__xludf.DUMMYFUNCTION("""COMPUTED_VALUE"""),2)</f>
        <v>2</v>
      </c>
      <c r="E115" s="46">
        <f ca="1">IFERROR(__xludf.DUMMYFUNCTION("""COMPUTED_VALUE"""),0)</f>
        <v>0</v>
      </c>
      <c r="F115" s="46">
        <f ca="1">IFERROR(__xludf.DUMMYFUNCTION("""COMPUTED_VALUE"""),4)</f>
        <v>4</v>
      </c>
      <c r="G115" s="46">
        <f ca="1">IFERROR(__xludf.DUMMYFUNCTION("""COMPUTED_VALUE"""),0)</f>
        <v>0</v>
      </c>
      <c r="H115" s="46">
        <f ca="1">IFERROR(__xludf.DUMMYFUNCTION("""COMPUTED_VALUE"""),0)</f>
        <v>0</v>
      </c>
      <c r="I115" s="46">
        <f ca="1">IFERROR(__xludf.DUMMYFUNCTION("""COMPUTED_VALUE"""),2)</f>
        <v>2</v>
      </c>
      <c r="J115" s="46">
        <f ca="1">IFERROR(__xludf.DUMMYFUNCTION("""COMPUTED_VALUE"""),1)</f>
        <v>1</v>
      </c>
      <c r="K115" s="46">
        <f ca="1">IFERROR(__xludf.DUMMYFUNCTION("""COMPUTED_VALUE"""),1)</f>
        <v>1</v>
      </c>
      <c r="L115" s="46">
        <f ca="1">IFERROR(__xludf.DUMMYFUNCTION("""COMPUTED_VALUE"""),0)</f>
        <v>0</v>
      </c>
      <c r="M115" s="46">
        <f ca="1">IFERROR(__xludf.DUMMYFUNCTION("""COMPUTED_VALUE"""),0)</f>
        <v>0</v>
      </c>
      <c r="N115" s="46">
        <f ca="1">IFERROR(__xludf.DUMMYFUNCTION("""COMPUTED_VALUE"""),0)</f>
        <v>0</v>
      </c>
      <c r="O115" s="50">
        <f t="shared" ca="1" si="1"/>
        <v>10</v>
      </c>
    </row>
    <row r="116" spans="1:15" ht="12.75">
      <c r="A116" s="50" t="str">
        <f ca="1">IFERROR(__xludf.DUMMYFUNCTION("""COMPUTED_VALUE"""),"CD54")</f>
        <v>CD54</v>
      </c>
      <c r="B116" s="77" t="str">
        <f ca="1">IFERROR(__xludf.DUMMYFUNCTION("""COMPUTED_VALUE"""),"06540108")</f>
        <v>06540108</v>
      </c>
      <c r="C116" s="48" t="str">
        <f ca="1">IFERROR(__xludf.DUMMYFUNCTION("""COMPUTED_VALUE"""),"BLENOD MONTAUVILLE TT")</f>
        <v>BLENOD MONTAUVILLE TT</v>
      </c>
      <c r="D116" s="46">
        <f ca="1">IFERROR(__xludf.DUMMYFUNCTION("""COMPUTED_VALUE"""),1)</f>
        <v>1</v>
      </c>
      <c r="E116" s="46">
        <f ca="1">IFERROR(__xludf.DUMMYFUNCTION("""COMPUTED_VALUE"""),0)</f>
        <v>0</v>
      </c>
      <c r="F116" s="46">
        <f ca="1">IFERROR(__xludf.DUMMYFUNCTION("""COMPUTED_VALUE"""),0)</f>
        <v>0</v>
      </c>
      <c r="G116" s="46">
        <f ca="1">IFERROR(__xludf.DUMMYFUNCTION("""COMPUTED_VALUE"""),0)</f>
        <v>0</v>
      </c>
      <c r="H116" s="46">
        <f ca="1">IFERROR(__xludf.DUMMYFUNCTION("""COMPUTED_VALUE"""),0)</f>
        <v>0</v>
      </c>
      <c r="I116" s="46">
        <f ca="1">IFERROR(__xludf.DUMMYFUNCTION("""COMPUTED_VALUE"""),0)</f>
        <v>0</v>
      </c>
      <c r="J116" s="46">
        <f ca="1">IFERROR(__xludf.DUMMYFUNCTION("""COMPUTED_VALUE"""),0)</f>
        <v>0</v>
      </c>
      <c r="K116" s="46">
        <f ca="1">IFERROR(__xludf.DUMMYFUNCTION("""COMPUTED_VALUE"""),0)</f>
        <v>0</v>
      </c>
      <c r="L116" s="46">
        <f ca="1">IFERROR(__xludf.DUMMYFUNCTION("""COMPUTED_VALUE"""),0)</f>
        <v>0</v>
      </c>
      <c r="M116" s="46">
        <f ca="1">IFERROR(__xludf.DUMMYFUNCTION("""COMPUTED_VALUE"""),0)</f>
        <v>0</v>
      </c>
      <c r="N116" s="46">
        <f ca="1">IFERROR(__xludf.DUMMYFUNCTION("""COMPUTED_VALUE"""),0)</f>
        <v>0</v>
      </c>
      <c r="O116" s="50">
        <f t="shared" ca="1" si="1"/>
        <v>1</v>
      </c>
    </row>
    <row r="117" spans="1:15" ht="12.75">
      <c r="A117" s="50" t="str">
        <f ca="1">IFERROR(__xludf.DUMMYFUNCTION("""COMPUTED_VALUE"""),"CD54")</f>
        <v>CD54</v>
      </c>
      <c r="B117" s="77" t="str">
        <f ca="1">IFERROR(__xludf.DUMMYFUNCTION("""COMPUTED_VALUE"""),"06540111")</f>
        <v>06540111</v>
      </c>
      <c r="C117" s="48" t="str">
        <f ca="1">IFERROR(__xludf.DUMMYFUNCTION("""COMPUTED_VALUE"""),"VILLEY SAINT ETIENNE MJC")</f>
        <v>VILLEY SAINT ETIENNE MJC</v>
      </c>
      <c r="D117" s="46">
        <f ca="1">IFERROR(__xludf.DUMMYFUNCTION("""COMPUTED_VALUE"""),1)</f>
        <v>1</v>
      </c>
      <c r="E117" s="46">
        <f ca="1">IFERROR(__xludf.DUMMYFUNCTION("""COMPUTED_VALUE"""),0)</f>
        <v>0</v>
      </c>
      <c r="F117" s="46">
        <f ca="1">IFERROR(__xludf.DUMMYFUNCTION("""COMPUTED_VALUE"""),0)</f>
        <v>0</v>
      </c>
      <c r="G117" s="46">
        <f ca="1">IFERROR(__xludf.DUMMYFUNCTION("""COMPUTED_VALUE"""),0)</f>
        <v>0</v>
      </c>
      <c r="H117" s="46">
        <f ca="1">IFERROR(__xludf.DUMMYFUNCTION("""COMPUTED_VALUE"""),0)</f>
        <v>0</v>
      </c>
      <c r="I117" s="46">
        <f ca="1">IFERROR(__xludf.DUMMYFUNCTION("""COMPUTED_VALUE"""),0)</f>
        <v>0</v>
      </c>
      <c r="J117" s="46">
        <f ca="1">IFERROR(__xludf.DUMMYFUNCTION("""COMPUTED_VALUE"""),0)</f>
        <v>0</v>
      </c>
      <c r="K117" s="46">
        <f ca="1">IFERROR(__xludf.DUMMYFUNCTION("""COMPUTED_VALUE"""),0)</f>
        <v>0</v>
      </c>
      <c r="L117" s="46">
        <f ca="1">IFERROR(__xludf.DUMMYFUNCTION("""COMPUTED_VALUE"""),0)</f>
        <v>0</v>
      </c>
      <c r="M117" s="46">
        <f ca="1">IFERROR(__xludf.DUMMYFUNCTION("""COMPUTED_VALUE"""),0)</f>
        <v>0</v>
      </c>
      <c r="N117" s="46">
        <f ca="1">IFERROR(__xludf.DUMMYFUNCTION("""COMPUTED_VALUE"""),0)</f>
        <v>0</v>
      </c>
      <c r="O117" s="50">
        <f t="shared" ca="1" si="1"/>
        <v>1</v>
      </c>
    </row>
    <row r="118" spans="1:15" ht="12.75">
      <c r="A118" s="50" t="str">
        <f ca="1">IFERROR(__xludf.DUMMYFUNCTION("""COMPUTED_VALUE"""),"CD54")</f>
        <v>CD54</v>
      </c>
      <c r="B118" s="77" t="str">
        <f ca="1">IFERROR(__xludf.DUMMYFUNCTION("""COMPUTED_VALUE"""),"06540115")</f>
        <v>06540115</v>
      </c>
      <c r="C118" s="48" t="str">
        <f ca="1">IFERROR(__xludf.DUMMYFUNCTION("""COMPUTED_VALUE"""),"HERIMENIL T.T.")</f>
        <v>HERIMENIL T.T.</v>
      </c>
      <c r="D118" s="46">
        <f ca="1">IFERROR(__xludf.DUMMYFUNCTION("""COMPUTED_VALUE"""),2)</f>
        <v>2</v>
      </c>
      <c r="E118" s="46">
        <f ca="1">IFERROR(__xludf.DUMMYFUNCTION("""COMPUTED_VALUE"""),0)</f>
        <v>0</v>
      </c>
      <c r="F118" s="46">
        <f ca="1">IFERROR(__xludf.DUMMYFUNCTION("""COMPUTED_VALUE"""),2)</f>
        <v>2</v>
      </c>
      <c r="G118" s="46">
        <f ca="1">IFERROR(__xludf.DUMMYFUNCTION("""COMPUTED_VALUE"""),0)</f>
        <v>0</v>
      </c>
      <c r="H118" s="46">
        <f ca="1">IFERROR(__xludf.DUMMYFUNCTION("""COMPUTED_VALUE"""),0)</f>
        <v>0</v>
      </c>
      <c r="I118" s="46">
        <f ca="1">IFERROR(__xludf.DUMMYFUNCTION("""COMPUTED_VALUE"""),2)</f>
        <v>2</v>
      </c>
      <c r="J118" s="46">
        <f ca="1">IFERROR(__xludf.DUMMYFUNCTION("""COMPUTED_VALUE"""),0)</f>
        <v>0</v>
      </c>
      <c r="K118" s="46">
        <f ca="1">IFERROR(__xludf.DUMMYFUNCTION("""COMPUTED_VALUE"""),0)</f>
        <v>0</v>
      </c>
      <c r="L118" s="46">
        <f ca="1">IFERROR(__xludf.DUMMYFUNCTION("""COMPUTED_VALUE"""),0)</f>
        <v>0</v>
      </c>
      <c r="M118" s="46">
        <f ca="1">IFERROR(__xludf.DUMMYFUNCTION("""COMPUTED_VALUE"""),0)</f>
        <v>0</v>
      </c>
      <c r="N118" s="46">
        <f ca="1">IFERROR(__xludf.DUMMYFUNCTION("""COMPUTED_VALUE"""),0)</f>
        <v>0</v>
      </c>
      <c r="O118" s="50">
        <f t="shared" ca="1" si="1"/>
        <v>6</v>
      </c>
    </row>
    <row r="119" spans="1:15" ht="12.75">
      <c r="A119" s="50" t="str">
        <f ca="1">IFERROR(__xludf.DUMMYFUNCTION("""COMPUTED_VALUE"""),"CD54")</f>
        <v>CD54</v>
      </c>
      <c r="B119" s="77" t="str">
        <f ca="1">IFERROR(__xludf.DUMMYFUNCTION("""COMPUTED_VALUE"""),"06540128")</f>
        <v>06540128</v>
      </c>
      <c r="C119" s="48" t="str">
        <f ca="1">IFERROR(__xludf.DUMMYFUNCTION("""COMPUTED_VALUE"""),"PONT A MOUSSON A.S.T.T.")</f>
        <v>PONT A MOUSSON A.S.T.T.</v>
      </c>
      <c r="D119" s="46">
        <f ca="1">IFERROR(__xludf.DUMMYFUNCTION("""COMPUTED_VALUE"""),3)</f>
        <v>3</v>
      </c>
      <c r="E119" s="46">
        <f ca="1">IFERROR(__xludf.DUMMYFUNCTION("""COMPUTED_VALUE"""),0)</f>
        <v>0</v>
      </c>
      <c r="F119" s="46">
        <f ca="1">IFERROR(__xludf.DUMMYFUNCTION("""COMPUTED_VALUE"""),8)</f>
        <v>8</v>
      </c>
      <c r="G119" s="46">
        <f ca="1">IFERROR(__xludf.DUMMYFUNCTION("""COMPUTED_VALUE"""),0)</f>
        <v>0</v>
      </c>
      <c r="H119" s="46">
        <f ca="1">IFERROR(__xludf.DUMMYFUNCTION("""COMPUTED_VALUE"""),0)</f>
        <v>0</v>
      </c>
      <c r="I119" s="46">
        <f ca="1">IFERROR(__xludf.DUMMYFUNCTION("""COMPUTED_VALUE"""),5)</f>
        <v>5</v>
      </c>
      <c r="J119" s="46">
        <f ca="1">IFERROR(__xludf.DUMMYFUNCTION("""COMPUTED_VALUE"""),0)</f>
        <v>0</v>
      </c>
      <c r="K119" s="46">
        <f ca="1">IFERROR(__xludf.DUMMYFUNCTION("""COMPUTED_VALUE"""),0)</f>
        <v>0</v>
      </c>
      <c r="L119" s="46">
        <f ca="1">IFERROR(__xludf.DUMMYFUNCTION("""COMPUTED_VALUE"""),0)</f>
        <v>0</v>
      </c>
      <c r="M119" s="46">
        <f ca="1">IFERROR(__xludf.DUMMYFUNCTION("""COMPUTED_VALUE"""),0)</f>
        <v>0</v>
      </c>
      <c r="N119" s="46">
        <f ca="1">IFERROR(__xludf.DUMMYFUNCTION("""COMPUTED_VALUE"""),0)</f>
        <v>0</v>
      </c>
      <c r="O119" s="50">
        <f t="shared" ca="1" si="1"/>
        <v>16</v>
      </c>
    </row>
    <row r="120" spans="1:15" ht="12.75">
      <c r="A120" s="50" t="str">
        <f ca="1">IFERROR(__xludf.DUMMYFUNCTION("""COMPUTED_VALUE"""),"CD54")</f>
        <v>CD54</v>
      </c>
      <c r="B120" s="77" t="str">
        <f ca="1">IFERROR(__xludf.DUMMYFUNCTION("""COMPUTED_VALUE"""),"06540135")</f>
        <v>06540135</v>
      </c>
      <c r="C120" s="48" t="str">
        <f ca="1">IFERROR(__xludf.DUMMYFUNCTION("""COMPUTED_VALUE"""),"BAINVILLE AUX MIROIRS F.R.")</f>
        <v>BAINVILLE AUX MIROIRS F.R.</v>
      </c>
      <c r="D120" s="46">
        <f ca="1">IFERROR(__xludf.DUMMYFUNCTION("""COMPUTED_VALUE"""),0)</f>
        <v>0</v>
      </c>
      <c r="E120" s="46">
        <f ca="1">IFERROR(__xludf.DUMMYFUNCTION("""COMPUTED_VALUE"""),0)</f>
        <v>0</v>
      </c>
      <c r="F120" s="46">
        <f ca="1">IFERROR(__xludf.DUMMYFUNCTION("""COMPUTED_VALUE"""),0)</f>
        <v>0</v>
      </c>
      <c r="G120" s="46">
        <f ca="1">IFERROR(__xludf.DUMMYFUNCTION("""COMPUTED_VALUE"""),0)</f>
        <v>0</v>
      </c>
      <c r="H120" s="46">
        <f ca="1">IFERROR(__xludf.DUMMYFUNCTION("""COMPUTED_VALUE"""),0)</f>
        <v>0</v>
      </c>
      <c r="I120" s="46">
        <f ca="1">IFERROR(__xludf.DUMMYFUNCTION("""COMPUTED_VALUE"""),0)</f>
        <v>0</v>
      </c>
      <c r="J120" s="46">
        <f ca="1">IFERROR(__xludf.DUMMYFUNCTION("""COMPUTED_VALUE"""),0)</f>
        <v>0</v>
      </c>
      <c r="K120" s="46">
        <f ca="1">IFERROR(__xludf.DUMMYFUNCTION("""COMPUTED_VALUE"""),0)</f>
        <v>0</v>
      </c>
      <c r="L120" s="46">
        <f ca="1">IFERROR(__xludf.DUMMYFUNCTION("""COMPUTED_VALUE"""),0)</f>
        <v>0</v>
      </c>
      <c r="M120" s="46">
        <f ca="1">IFERROR(__xludf.DUMMYFUNCTION("""COMPUTED_VALUE"""),0)</f>
        <v>0</v>
      </c>
      <c r="N120" s="46">
        <f ca="1">IFERROR(__xludf.DUMMYFUNCTION("""COMPUTED_VALUE"""),0)</f>
        <v>0</v>
      </c>
      <c r="O120" s="50">
        <f t="shared" ca="1" si="1"/>
        <v>0</v>
      </c>
    </row>
    <row r="121" spans="1:15" ht="12.75">
      <c r="A121" s="50" t="str">
        <f ca="1">IFERROR(__xludf.DUMMYFUNCTION("""COMPUTED_VALUE"""),"CD54")</f>
        <v>CD54</v>
      </c>
      <c r="B121" s="77" t="str">
        <f ca="1">IFERROR(__xludf.DUMMYFUNCTION("""COMPUTED_VALUE"""),"06540151")</f>
        <v>06540151</v>
      </c>
      <c r="C121" s="48" t="str">
        <f ca="1">IFERROR(__xludf.DUMMYFUNCTION("""COMPUTED_VALUE"""),"MERCY LE BAS F.E.P.")</f>
        <v>MERCY LE BAS F.E.P.</v>
      </c>
      <c r="D121" s="46">
        <f ca="1">IFERROR(__xludf.DUMMYFUNCTION("""COMPUTED_VALUE"""),0)</f>
        <v>0</v>
      </c>
      <c r="E121" s="46">
        <f ca="1">IFERROR(__xludf.DUMMYFUNCTION("""COMPUTED_VALUE"""),0)</f>
        <v>0</v>
      </c>
      <c r="F121" s="46">
        <f ca="1">IFERROR(__xludf.DUMMYFUNCTION("""COMPUTED_VALUE"""),0)</f>
        <v>0</v>
      </c>
      <c r="G121" s="46">
        <f ca="1">IFERROR(__xludf.DUMMYFUNCTION("""COMPUTED_VALUE"""),0)</f>
        <v>0</v>
      </c>
      <c r="H121" s="46">
        <f ca="1">IFERROR(__xludf.DUMMYFUNCTION("""COMPUTED_VALUE"""),0)</f>
        <v>0</v>
      </c>
      <c r="I121" s="46">
        <f ca="1">IFERROR(__xludf.DUMMYFUNCTION("""COMPUTED_VALUE"""),0)</f>
        <v>0</v>
      </c>
      <c r="J121" s="46">
        <f ca="1">IFERROR(__xludf.DUMMYFUNCTION("""COMPUTED_VALUE"""),0)</f>
        <v>0</v>
      </c>
      <c r="K121" s="46">
        <f ca="1">IFERROR(__xludf.DUMMYFUNCTION("""COMPUTED_VALUE"""),0)</f>
        <v>0</v>
      </c>
      <c r="L121" s="46">
        <f ca="1">IFERROR(__xludf.DUMMYFUNCTION("""COMPUTED_VALUE"""),0)</f>
        <v>0</v>
      </c>
      <c r="M121" s="46">
        <f ca="1">IFERROR(__xludf.DUMMYFUNCTION("""COMPUTED_VALUE"""),0)</f>
        <v>0</v>
      </c>
      <c r="N121" s="46">
        <f ca="1">IFERROR(__xludf.DUMMYFUNCTION("""COMPUTED_VALUE"""),0)</f>
        <v>0</v>
      </c>
      <c r="O121" s="50">
        <f t="shared" ca="1" si="1"/>
        <v>0</v>
      </c>
    </row>
    <row r="122" spans="1:15" ht="12.75">
      <c r="A122" s="50" t="str">
        <f ca="1">IFERROR(__xludf.DUMMYFUNCTION("""COMPUTED_VALUE"""),"CD54")</f>
        <v>CD54</v>
      </c>
      <c r="B122" s="77" t="str">
        <f ca="1">IFERROR(__xludf.DUMMYFUNCTION("""COMPUTED_VALUE"""),"06540157")</f>
        <v>06540157</v>
      </c>
      <c r="C122" s="48" t="str">
        <f ca="1">IFERROR(__xludf.DUMMYFUNCTION("""COMPUTED_VALUE"""),"ST NICOLAS DE PORT PPCP")</f>
        <v>ST NICOLAS DE PORT PPCP</v>
      </c>
      <c r="D122" s="46">
        <f ca="1">IFERROR(__xludf.DUMMYFUNCTION("""COMPUTED_VALUE"""),0)</f>
        <v>0</v>
      </c>
      <c r="E122" s="46">
        <f ca="1">IFERROR(__xludf.DUMMYFUNCTION("""COMPUTED_VALUE"""),0)</f>
        <v>0</v>
      </c>
      <c r="F122" s="46">
        <f ca="1">IFERROR(__xludf.DUMMYFUNCTION("""COMPUTED_VALUE"""),2)</f>
        <v>2</v>
      </c>
      <c r="G122" s="46">
        <f ca="1">IFERROR(__xludf.DUMMYFUNCTION("""COMPUTED_VALUE"""),0)</f>
        <v>0</v>
      </c>
      <c r="H122" s="46">
        <f ca="1">IFERROR(__xludf.DUMMYFUNCTION("""COMPUTED_VALUE"""),0)</f>
        <v>0</v>
      </c>
      <c r="I122" s="46">
        <f ca="1">IFERROR(__xludf.DUMMYFUNCTION("""COMPUTED_VALUE"""),2)</f>
        <v>2</v>
      </c>
      <c r="J122" s="46">
        <f ca="1">IFERROR(__xludf.DUMMYFUNCTION("""COMPUTED_VALUE"""),0)</f>
        <v>0</v>
      </c>
      <c r="K122" s="46">
        <f ca="1">IFERROR(__xludf.DUMMYFUNCTION("""COMPUTED_VALUE"""),0)</f>
        <v>0</v>
      </c>
      <c r="L122" s="46">
        <f ca="1">IFERROR(__xludf.DUMMYFUNCTION("""COMPUTED_VALUE"""),0)</f>
        <v>0</v>
      </c>
      <c r="M122" s="46">
        <f ca="1">IFERROR(__xludf.DUMMYFUNCTION("""COMPUTED_VALUE"""),0)</f>
        <v>0</v>
      </c>
      <c r="N122" s="46">
        <f ca="1">IFERROR(__xludf.DUMMYFUNCTION("""COMPUTED_VALUE"""),0)</f>
        <v>0</v>
      </c>
      <c r="O122" s="50">
        <f t="shared" ca="1" si="1"/>
        <v>4</v>
      </c>
    </row>
    <row r="123" spans="1:15" ht="12.75">
      <c r="A123" s="50" t="str">
        <f ca="1">IFERROR(__xludf.DUMMYFUNCTION("""COMPUTED_VALUE"""),"CD54")</f>
        <v>CD54</v>
      </c>
      <c r="B123" s="77" t="str">
        <f ca="1">IFERROR(__xludf.DUMMYFUNCTION("""COMPUTED_VALUE"""),"06540160")</f>
        <v>06540160</v>
      </c>
      <c r="C123" s="48" t="str">
        <f ca="1">IFERROR(__xludf.DUMMYFUNCTION("""COMPUTED_VALUE"""),"VANDOEUVRE ASCI")</f>
        <v>VANDOEUVRE ASCI</v>
      </c>
      <c r="D123" s="46">
        <f ca="1">IFERROR(__xludf.DUMMYFUNCTION("""COMPUTED_VALUE"""),0)</f>
        <v>0</v>
      </c>
      <c r="E123" s="46">
        <f ca="1">IFERROR(__xludf.DUMMYFUNCTION("""COMPUTED_VALUE"""),0)</f>
        <v>0</v>
      </c>
      <c r="F123" s="46">
        <f ca="1">IFERROR(__xludf.DUMMYFUNCTION("""COMPUTED_VALUE"""),0)</f>
        <v>0</v>
      </c>
      <c r="G123" s="46">
        <f ca="1">IFERROR(__xludf.DUMMYFUNCTION("""COMPUTED_VALUE"""),0)</f>
        <v>0</v>
      </c>
      <c r="H123" s="46">
        <f ca="1">IFERROR(__xludf.DUMMYFUNCTION("""COMPUTED_VALUE"""),0)</f>
        <v>0</v>
      </c>
      <c r="I123" s="46">
        <f ca="1">IFERROR(__xludf.DUMMYFUNCTION("""COMPUTED_VALUE"""),0)</f>
        <v>0</v>
      </c>
      <c r="J123" s="46">
        <f ca="1">IFERROR(__xludf.DUMMYFUNCTION("""COMPUTED_VALUE"""),0)</f>
        <v>0</v>
      </c>
      <c r="K123" s="46">
        <f ca="1">IFERROR(__xludf.DUMMYFUNCTION("""COMPUTED_VALUE"""),0)</f>
        <v>0</v>
      </c>
      <c r="L123" s="46">
        <f ca="1">IFERROR(__xludf.DUMMYFUNCTION("""COMPUTED_VALUE"""),0)</f>
        <v>0</v>
      </c>
      <c r="M123" s="46">
        <f ca="1">IFERROR(__xludf.DUMMYFUNCTION("""COMPUTED_VALUE"""),0)</f>
        <v>0</v>
      </c>
      <c r="N123" s="46">
        <f ca="1">IFERROR(__xludf.DUMMYFUNCTION("""COMPUTED_VALUE"""),0)</f>
        <v>0</v>
      </c>
      <c r="O123" s="50">
        <f t="shared" ca="1" si="1"/>
        <v>0</v>
      </c>
    </row>
    <row r="124" spans="1:15" ht="12.75">
      <c r="A124" s="50" t="str">
        <f ca="1">IFERROR(__xludf.DUMMYFUNCTION("""COMPUTED_VALUE"""),"CD54")</f>
        <v>CD54</v>
      </c>
      <c r="B124" s="77" t="str">
        <f ca="1">IFERROR(__xludf.DUMMYFUNCTION("""COMPUTED_VALUE"""),"06540184")</f>
        <v>06540184</v>
      </c>
      <c r="C124" s="48" t="str">
        <f ca="1">IFERROR(__xludf.DUMMYFUNCTION("""COMPUTED_VALUE"""),"BATILLY Tennis de Table")</f>
        <v>BATILLY Tennis de Table</v>
      </c>
      <c r="D124" s="46">
        <f ca="1">IFERROR(__xludf.DUMMYFUNCTION("""COMPUTED_VALUE"""),2)</f>
        <v>2</v>
      </c>
      <c r="E124" s="46">
        <f ca="1">IFERROR(__xludf.DUMMYFUNCTION("""COMPUTED_VALUE"""),0)</f>
        <v>0</v>
      </c>
      <c r="F124" s="46">
        <f ca="1">IFERROR(__xludf.DUMMYFUNCTION("""COMPUTED_VALUE"""),3)</f>
        <v>3</v>
      </c>
      <c r="G124" s="46">
        <f ca="1">IFERROR(__xludf.DUMMYFUNCTION("""COMPUTED_VALUE"""),0)</f>
        <v>0</v>
      </c>
      <c r="H124" s="46">
        <f ca="1">IFERROR(__xludf.DUMMYFUNCTION("""COMPUTED_VALUE"""),0)</f>
        <v>0</v>
      </c>
      <c r="I124" s="46">
        <f ca="1">IFERROR(__xludf.DUMMYFUNCTION("""COMPUTED_VALUE"""),3)</f>
        <v>3</v>
      </c>
      <c r="J124" s="46">
        <f ca="1">IFERROR(__xludf.DUMMYFUNCTION("""COMPUTED_VALUE"""),0)</f>
        <v>0</v>
      </c>
      <c r="K124" s="46">
        <f ca="1">IFERROR(__xludf.DUMMYFUNCTION("""COMPUTED_VALUE"""),0)</f>
        <v>0</v>
      </c>
      <c r="L124" s="46">
        <f ca="1">IFERROR(__xludf.DUMMYFUNCTION("""COMPUTED_VALUE"""),0)</f>
        <v>0</v>
      </c>
      <c r="M124" s="46">
        <f ca="1">IFERROR(__xludf.DUMMYFUNCTION("""COMPUTED_VALUE"""),0)</f>
        <v>0</v>
      </c>
      <c r="N124" s="46">
        <f ca="1">IFERROR(__xludf.DUMMYFUNCTION("""COMPUTED_VALUE"""),0)</f>
        <v>0</v>
      </c>
      <c r="O124" s="50">
        <f t="shared" ca="1" si="1"/>
        <v>8</v>
      </c>
    </row>
    <row r="125" spans="1:15" ht="12.75">
      <c r="A125" s="50" t="str">
        <f ca="1">IFERROR(__xludf.DUMMYFUNCTION("""COMPUTED_VALUE"""),"CD54")</f>
        <v>CD54</v>
      </c>
      <c r="B125" s="77" t="str">
        <f ca="1">IFERROR(__xludf.DUMMYFUNCTION("""COMPUTED_VALUE"""),"06540187")</f>
        <v>06540187</v>
      </c>
      <c r="C125" s="48" t="str">
        <f ca="1">IFERROR(__xludf.DUMMYFUNCTION("""COMPUTED_VALUE"""),"CHAMPIGNEULLES Tennis de Table")</f>
        <v>CHAMPIGNEULLES Tennis de Table</v>
      </c>
      <c r="D125" s="46">
        <f ca="1">IFERROR(__xludf.DUMMYFUNCTION("""COMPUTED_VALUE"""),0)</f>
        <v>0</v>
      </c>
      <c r="E125" s="46">
        <f ca="1">IFERROR(__xludf.DUMMYFUNCTION("""COMPUTED_VALUE"""),0)</f>
        <v>0</v>
      </c>
      <c r="F125" s="46">
        <f ca="1">IFERROR(__xludf.DUMMYFUNCTION("""COMPUTED_VALUE"""),2)</f>
        <v>2</v>
      </c>
      <c r="G125" s="46">
        <f ca="1">IFERROR(__xludf.DUMMYFUNCTION("""COMPUTED_VALUE"""),0)</f>
        <v>0</v>
      </c>
      <c r="H125" s="46">
        <f ca="1">IFERROR(__xludf.DUMMYFUNCTION("""COMPUTED_VALUE"""),0)</f>
        <v>0</v>
      </c>
      <c r="I125" s="46">
        <f ca="1">IFERROR(__xludf.DUMMYFUNCTION("""COMPUTED_VALUE"""),1)</f>
        <v>1</v>
      </c>
      <c r="J125" s="46">
        <f ca="1">IFERROR(__xludf.DUMMYFUNCTION("""COMPUTED_VALUE"""),0)</f>
        <v>0</v>
      </c>
      <c r="K125" s="46">
        <f ca="1">IFERROR(__xludf.DUMMYFUNCTION("""COMPUTED_VALUE"""),0)</f>
        <v>0</v>
      </c>
      <c r="L125" s="46">
        <f ca="1">IFERROR(__xludf.DUMMYFUNCTION("""COMPUTED_VALUE"""),0)</f>
        <v>0</v>
      </c>
      <c r="M125" s="46">
        <f ca="1">IFERROR(__xludf.DUMMYFUNCTION("""COMPUTED_VALUE"""),0)</f>
        <v>0</v>
      </c>
      <c r="N125" s="46">
        <f ca="1">IFERROR(__xludf.DUMMYFUNCTION("""COMPUTED_VALUE"""),0)</f>
        <v>0</v>
      </c>
      <c r="O125" s="50">
        <f t="shared" ca="1" si="1"/>
        <v>3</v>
      </c>
    </row>
    <row r="126" spans="1:15" ht="12.75">
      <c r="A126" s="50" t="str">
        <f ca="1">IFERROR(__xludf.DUMMYFUNCTION("""COMPUTED_VALUE"""),"CD54")</f>
        <v>CD54</v>
      </c>
      <c r="B126" s="77" t="str">
        <f ca="1">IFERROR(__xludf.DUMMYFUNCTION("""COMPUTED_VALUE"""),"06540192")</f>
        <v>06540192</v>
      </c>
      <c r="C126" s="48" t="str">
        <f ca="1">IFERROR(__xludf.DUMMYFUNCTION("""COMPUTED_VALUE"""),"LONGLAVILLE TT")</f>
        <v>LONGLAVILLE TT</v>
      </c>
      <c r="D126" s="46">
        <f ca="1">IFERROR(__xludf.DUMMYFUNCTION("""COMPUTED_VALUE"""),0)</f>
        <v>0</v>
      </c>
      <c r="E126" s="46">
        <f ca="1">IFERROR(__xludf.DUMMYFUNCTION("""COMPUTED_VALUE"""),0)</f>
        <v>0</v>
      </c>
      <c r="F126" s="46">
        <f ca="1">IFERROR(__xludf.DUMMYFUNCTION("""COMPUTED_VALUE"""),2)</f>
        <v>2</v>
      </c>
      <c r="G126" s="46">
        <f ca="1">IFERROR(__xludf.DUMMYFUNCTION("""COMPUTED_VALUE"""),0)</f>
        <v>0</v>
      </c>
      <c r="H126" s="46">
        <f ca="1">IFERROR(__xludf.DUMMYFUNCTION("""COMPUTED_VALUE"""),0)</f>
        <v>0</v>
      </c>
      <c r="I126" s="46">
        <f ca="1">IFERROR(__xludf.DUMMYFUNCTION("""COMPUTED_VALUE"""),2)</f>
        <v>2</v>
      </c>
      <c r="J126" s="46">
        <f ca="1">IFERROR(__xludf.DUMMYFUNCTION("""COMPUTED_VALUE"""),0)</f>
        <v>0</v>
      </c>
      <c r="K126" s="46">
        <f ca="1">IFERROR(__xludf.DUMMYFUNCTION("""COMPUTED_VALUE"""),0)</f>
        <v>0</v>
      </c>
      <c r="L126" s="46">
        <f ca="1">IFERROR(__xludf.DUMMYFUNCTION("""COMPUTED_VALUE"""),0)</f>
        <v>0</v>
      </c>
      <c r="M126" s="46">
        <f ca="1">IFERROR(__xludf.DUMMYFUNCTION("""COMPUTED_VALUE"""),0)</f>
        <v>0</v>
      </c>
      <c r="N126" s="46">
        <f ca="1">IFERROR(__xludf.DUMMYFUNCTION("""COMPUTED_VALUE"""),0)</f>
        <v>0</v>
      </c>
      <c r="O126" s="50">
        <f t="shared" ca="1" si="1"/>
        <v>4</v>
      </c>
    </row>
    <row r="127" spans="1:15" ht="12.75">
      <c r="A127" s="50" t="str">
        <f ca="1">IFERROR(__xludf.DUMMYFUNCTION("""COMPUTED_VALUE"""),"CD54")</f>
        <v>CD54</v>
      </c>
      <c r="B127" s="77" t="str">
        <f ca="1">IFERROR(__xludf.DUMMYFUNCTION("""COMPUTED_VALUE"""),"06540193")</f>
        <v>06540193</v>
      </c>
      <c r="C127" s="48" t="str">
        <f ca="1">IFERROR(__xludf.DUMMYFUNCTION("""COMPUTED_VALUE"""),"BACCARAT ABTT")</f>
        <v>BACCARAT ABTT</v>
      </c>
      <c r="D127" s="46">
        <f ca="1">IFERROR(__xludf.DUMMYFUNCTION("""COMPUTED_VALUE"""),1)</f>
        <v>1</v>
      </c>
      <c r="E127" s="46">
        <f ca="1">IFERROR(__xludf.DUMMYFUNCTION("""COMPUTED_VALUE"""),0)</f>
        <v>0</v>
      </c>
      <c r="F127" s="46">
        <f ca="1">IFERROR(__xludf.DUMMYFUNCTION("""COMPUTED_VALUE"""),6)</f>
        <v>6</v>
      </c>
      <c r="G127" s="46">
        <f ca="1">IFERROR(__xludf.DUMMYFUNCTION("""COMPUTED_VALUE"""),0)</f>
        <v>0</v>
      </c>
      <c r="H127" s="46">
        <f ca="1">IFERROR(__xludf.DUMMYFUNCTION("""COMPUTED_VALUE"""),0)</f>
        <v>0</v>
      </c>
      <c r="I127" s="46">
        <f ca="1">IFERROR(__xludf.DUMMYFUNCTION("""COMPUTED_VALUE"""),5)</f>
        <v>5</v>
      </c>
      <c r="J127" s="46">
        <f ca="1">IFERROR(__xludf.DUMMYFUNCTION("""COMPUTED_VALUE"""),0)</f>
        <v>0</v>
      </c>
      <c r="K127" s="46">
        <f ca="1">IFERROR(__xludf.DUMMYFUNCTION("""COMPUTED_VALUE"""),0)</f>
        <v>0</v>
      </c>
      <c r="L127" s="46">
        <f ca="1">IFERROR(__xludf.DUMMYFUNCTION("""COMPUTED_VALUE"""),0)</f>
        <v>0</v>
      </c>
      <c r="M127" s="46">
        <f ca="1">IFERROR(__xludf.DUMMYFUNCTION("""COMPUTED_VALUE"""),0)</f>
        <v>0</v>
      </c>
      <c r="N127" s="46">
        <f ca="1">IFERROR(__xludf.DUMMYFUNCTION("""COMPUTED_VALUE"""),0)</f>
        <v>0</v>
      </c>
      <c r="O127" s="50">
        <f t="shared" ca="1" si="1"/>
        <v>12</v>
      </c>
    </row>
    <row r="128" spans="1:15" ht="12.75">
      <c r="A128" s="50" t="str">
        <f ca="1">IFERROR(__xludf.DUMMYFUNCTION("""COMPUTED_VALUE"""),"CD54")</f>
        <v>CD54</v>
      </c>
      <c r="B128" s="77" t="str">
        <f ca="1">IFERROR(__xludf.DUMMYFUNCTION("""COMPUTED_VALUE"""),"06540194")</f>
        <v>06540194</v>
      </c>
      <c r="C128" s="48" t="str">
        <f ca="1">IFERROR(__xludf.DUMMYFUNCTION("""COMPUTED_VALUE"""),"VILLERS LA MONTAGNE FEP")</f>
        <v>VILLERS LA MONTAGNE FEP</v>
      </c>
      <c r="D128" s="46">
        <f ca="1">IFERROR(__xludf.DUMMYFUNCTION("""COMPUTED_VALUE"""),0)</f>
        <v>0</v>
      </c>
      <c r="E128" s="46">
        <f ca="1">IFERROR(__xludf.DUMMYFUNCTION("""COMPUTED_VALUE"""),0)</f>
        <v>0</v>
      </c>
      <c r="F128" s="46">
        <f ca="1">IFERROR(__xludf.DUMMYFUNCTION("""COMPUTED_VALUE"""),0)</f>
        <v>0</v>
      </c>
      <c r="G128" s="46">
        <f ca="1">IFERROR(__xludf.DUMMYFUNCTION("""COMPUTED_VALUE"""),0)</f>
        <v>0</v>
      </c>
      <c r="H128" s="46">
        <f ca="1">IFERROR(__xludf.DUMMYFUNCTION("""COMPUTED_VALUE"""),0)</f>
        <v>0</v>
      </c>
      <c r="I128" s="46">
        <f ca="1">IFERROR(__xludf.DUMMYFUNCTION("""COMPUTED_VALUE"""),0)</f>
        <v>0</v>
      </c>
      <c r="J128" s="46">
        <f ca="1">IFERROR(__xludf.DUMMYFUNCTION("""COMPUTED_VALUE"""),0)</f>
        <v>0</v>
      </c>
      <c r="K128" s="46">
        <f ca="1">IFERROR(__xludf.DUMMYFUNCTION("""COMPUTED_VALUE"""),0)</f>
        <v>0</v>
      </c>
      <c r="L128" s="46">
        <f ca="1">IFERROR(__xludf.DUMMYFUNCTION("""COMPUTED_VALUE"""),0)</f>
        <v>0</v>
      </c>
      <c r="M128" s="46">
        <f ca="1">IFERROR(__xludf.DUMMYFUNCTION("""COMPUTED_VALUE"""),0)</f>
        <v>0</v>
      </c>
      <c r="N128" s="46">
        <f ca="1">IFERROR(__xludf.DUMMYFUNCTION("""COMPUTED_VALUE"""),0)</f>
        <v>0</v>
      </c>
      <c r="O128" s="50">
        <f t="shared" ca="1" si="1"/>
        <v>0</v>
      </c>
    </row>
    <row r="129" spans="1:15" ht="12.75">
      <c r="A129" s="50" t="str">
        <f ca="1">IFERROR(__xludf.DUMMYFUNCTION("""COMPUTED_VALUE"""),"CD54")</f>
        <v>CD54</v>
      </c>
      <c r="B129" s="77" t="str">
        <f ca="1">IFERROR(__xludf.DUMMYFUNCTION("""COMPUTED_VALUE"""),"06540197")</f>
        <v>06540197</v>
      </c>
      <c r="C129" s="48" t="str">
        <f ca="1">IFERROR(__xludf.DUMMYFUNCTION("""COMPUTED_VALUE"""),"CUTRY Tennis de Table")</f>
        <v>CUTRY Tennis de Table</v>
      </c>
      <c r="D129" s="46">
        <f ca="1">IFERROR(__xludf.DUMMYFUNCTION("""COMPUTED_VALUE"""),0)</f>
        <v>0</v>
      </c>
      <c r="E129" s="46">
        <f ca="1">IFERROR(__xludf.DUMMYFUNCTION("""COMPUTED_VALUE"""),0)</f>
        <v>0</v>
      </c>
      <c r="F129" s="46">
        <f ca="1">IFERROR(__xludf.DUMMYFUNCTION("""COMPUTED_VALUE"""),0)</f>
        <v>0</v>
      </c>
      <c r="G129" s="46">
        <f ca="1">IFERROR(__xludf.DUMMYFUNCTION("""COMPUTED_VALUE"""),0)</f>
        <v>0</v>
      </c>
      <c r="H129" s="46">
        <f ca="1">IFERROR(__xludf.DUMMYFUNCTION("""COMPUTED_VALUE"""),0)</f>
        <v>0</v>
      </c>
      <c r="I129" s="46">
        <f ca="1">IFERROR(__xludf.DUMMYFUNCTION("""COMPUTED_VALUE"""),0)</f>
        <v>0</v>
      </c>
      <c r="J129" s="46">
        <f ca="1">IFERROR(__xludf.DUMMYFUNCTION("""COMPUTED_VALUE"""),0)</f>
        <v>0</v>
      </c>
      <c r="K129" s="46">
        <f ca="1">IFERROR(__xludf.DUMMYFUNCTION("""COMPUTED_VALUE"""),0)</f>
        <v>0</v>
      </c>
      <c r="L129" s="46">
        <f ca="1">IFERROR(__xludf.DUMMYFUNCTION("""COMPUTED_VALUE"""),0)</f>
        <v>0</v>
      </c>
      <c r="M129" s="46">
        <f ca="1">IFERROR(__xludf.DUMMYFUNCTION("""COMPUTED_VALUE"""),0)</f>
        <v>0</v>
      </c>
      <c r="N129" s="46">
        <f ca="1">IFERROR(__xludf.DUMMYFUNCTION("""COMPUTED_VALUE"""),0)</f>
        <v>0</v>
      </c>
      <c r="O129" s="50">
        <f t="shared" ca="1" si="1"/>
        <v>0</v>
      </c>
    </row>
    <row r="130" spans="1:15" ht="12.75">
      <c r="A130" s="50" t="str">
        <f ca="1">IFERROR(__xludf.DUMMYFUNCTION("""COMPUTED_VALUE"""),"CD54")</f>
        <v>CD54</v>
      </c>
      <c r="B130" s="77" t="str">
        <f ca="1">IFERROR(__xludf.DUMMYFUNCTION("""COMPUTED_VALUE"""),"06540198")</f>
        <v>06540198</v>
      </c>
      <c r="C130" s="48" t="str">
        <f ca="1">IFERROR(__xludf.DUMMYFUNCTION("""COMPUTED_VALUE"""),"VANDOEUVRE ASTT")</f>
        <v>VANDOEUVRE ASTT</v>
      </c>
      <c r="D130" s="46">
        <f ca="1">IFERROR(__xludf.DUMMYFUNCTION("""COMPUTED_VALUE"""),3)</f>
        <v>3</v>
      </c>
      <c r="E130" s="46">
        <f ca="1">IFERROR(__xludf.DUMMYFUNCTION("""COMPUTED_VALUE"""),0)</f>
        <v>0</v>
      </c>
      <c r="F130" s="46">
        <f ca="1">IFERROR(__xludf.DUMMYFUNCTION("""COMPUTED_VALUE"""),2)</f>
        <v>2</v>
      </c>
      <c r="G130" s="46">
        <f ca="1">IFERROR(__xludf.DUMMYFUNCTION("""COMPUTED_VALUE"""),0)</f>
        <v>0</v>
      </c>
      <c r="H130" s="46">
        <f ca="1">IFERROR(__xludf.DUMMYFUNCTION("""COMPUTED_VALUE"""),0)</f>
        <v>0</v>
      </c>
      <c r="I130" s="46">
        <f ca="1">IFERROR(__xludf.DUMMYFUNCTION("""COMPUTED_VALUE"""),0)</f>
        <v>0</v>
      </c>
      <c r="J130" s="46">
        <f ca="1">IFERROR(__xludf.DUMMYFUNCTION("""COMPUTED_VALUE"""),1)</f>
        <v>1</v>
      </c>
      <c r="K130" s="46">
        <f ca="1">IFERROR(__xludf.DUMMYFUNCTION("""COMPUTED_VALUE"""),1)</f>
        <v>1</v>
      </c>
      <c r="L130" s="46">
        <f ca="1">IFERROR(__xludf.DUMMYFUNCTION("""COMPUTED_VALUE"""),0)</f>
        <v>0</v>
      </c>
      <c r="M130" s="46">
        <f ca="1">IFERROR(__xludf.DUMMYFUNCTION("""COMPUTED_VALUE"""),0)</f>
        <v>0</v>
      </c>
      <c r="N130" s="46">
        <f ca="1">IFERROR(__xludf.DUMMYFUNCTION("""COMPUTED_VALUE"""),1)</f>
        <v>1</v>
      </c>
      <c r="O130" s="50">
        <f t="shared" ca="1" si="1"/>
        <v>8</v>
      </c>
    </row>
    <row r="131" spans="1:15" ht="12.75">
      <c r="A131" s="50" t="str">
        <f ca="1">IFERROR(__xludf.DUMMYFUNCTION("""COMPUTED_VALUE"""),"CD54")</f>
        <v>CD54</v>
      </c>
      <c r="B131" s="77" t="str">
        <f ca="1">IFERROR(__xludf.DUMMYFUNCTION("""COMPUTED_VALUE"""),"06540199")</f>
        <v>06540199</v>
      </c>
      <c r="C131" s="48" t="str">
        <f ca="1">IFERROR(__xludf.DUMMYFUNCTION("""COMPUTED_VALUE"""),"HOUDEMONT ATT")</f>
        <v>HOUDEMONT ATT</v>
      </c>
      <c r="D131" s="46">
        <f ca="1">IFERROR(__xludf.DUMMYFUNCTION("""COMPUTED_VALUE"""),0)</f>
        <v>0</v>
      </c>
      <c r="E131" s="46">
        <f ca="1">IFERROR(__xludf.DUMMYFUNCTION("""COMPUTED_VALUE"""),0)</f>
        <v>0</v>
      </c>
      <c r="F131" s="46">
        <f ca="1">IFERROR(__xludf.DUMMYFUNCTION("""COMPUTED_VALUE"""),2)</f>
        <v>2</v>
      </c>
      <c r="G131" s="46">
        <f ca="1">IFERROR(__xludf.DUMMYFUNCTION("""COMPUTED_VALUE"""),0)</f>
        <v>0</v>
      </c>
      <c r="H131" s="46">
        <f ca="1">IFERROR(__xludf.DUMMYFUNCTION("""COMPUTED_VALUE"""),0)</f>
        <v>0</v>
      </c>
      <c r="I131" s="46">
        <f ca="1">IFERROR(__xludf.DUMMYFUNCTION("""COMPUTED_VALUE"""),0)</f>
        <v>0</v>
      </c>
      <c r="J131" s="46">
        <f ca="1">IFERROR(__xludf.DUMMYFUNCTION("""COMPUTED_VALUE"""),0)</f>
        <v>0</v>
      </c>
      <c r="K131" s="46">
        <f ca="1">IFERROR(__xludf.DUMMYFUNCTION("""COMPUTED_VALUE"""),1)</f>
        <v>1</v>
      </c>
      <c r="L131" s="46">
        <f ca="1">IFERROR(__xludf.DUMMYFUNCTION("""COMPUTED_VALUE"""),0)</f>
        <v>0</v>
      </c>
      <c r="M131" s="46">
        <f ca="1">IFERROR(__xludf.DUMMYFUNCTION("""COMPUTED_VALUE"""),0)</f>
        <v>0</v>
      </c>
      <c r="N131" s="46">
        <f ca="1">IFERROR(__xludf.DUMMYFUNCTION("""COMPUTED_VALUE"""),0)</f>
        <v>0</v>
      </c>
      <c r="O131" s="50">
        <f t="shared" ca="1" si="1"/>
        <v>3</v>
      </c>
    </row>
    <row r="132" spans="1:15" ht="12.75">
      <c r="A132" s="50" t="str">
        <f ca="1">IFERROR(__xludf.DUMMYFUNCTION("""COMPUTED_VALUE"""),"CD54")</f>
        <v>CD54</v>
      </c>
      <c r="B132" s="77" t="str">
        <f ca="1">IFERROR(__xludf.DUMMYFUNCTION("""COMPUTED_VALUE"""),"06540200")</f>
        <v>06540200</v>
      </c>
      <c r="C132" s="48" t="str">
        <f ca="1">IFERROR(__xludf.DUMMYFUNCTION("""COMPUTED_VALUE"""),"TELLANCOURT ASC")</f>
        <v>TELLANCOURT ASC</v>
      </c>
      <c r="D132" s="46">
        <f ca="1">IFERROR(__xludf.DUMMYFUNCTION("""COMPUTED_VALUE"""),0)</f>
        <v>0</v>
      </c>
      <c r="E132" s="46">
        <f ca="1">IFERROR(__xludf.DUMMYFUNCTION("""COMPUTED_VALUE"""),0)</f>
        <v>0</v>
      </c>
      <c r="F132" s="46">
        <f ca="1">IFERROR(__xludf.DUMMYFUNCTION("""COMPUTED_VALUE"""),0)</f>
        <v>0</v>
      </c>
      <c r="G132" s="46">
        <f ca="1">IFERROR(__xludf.DUMMYFUNCTION("""COMPUTED_VALUE"""),0)</f>
        <v>0</v>
      </c>
      <c r="H132" s="46">
        <f ca="1">IFERROR(__xludf.DUMMYFUNCTION("""COMPUTED_VALUE"""),0)</f>
        <v>0</v>
      </c>
      <c r="I132" s="46">
        <f ca="1">IFERROR(__xludf.DUMMYFUNCTION("""COMPUTED_VALUE"""),0)</f>
        <v>0</v>
      </c>
      <c r="J132" s="46">
        <f ca="1">IFERROR(__xludf.DUMMYFUNCTION("""COMPUTED_VALUE"""),0)</f>
        <v>0</v>
      </c>
      <c r="K132" s="46">
        <f ca="1">IFERROR(__xludf.DUMMYFUNCTION("""COMPUTED_VALUE"""),0)</f>
        <v>0</v>
      </c>
      <c r="L132" s="46">
        <f ca="1">IFERROR(__xludf.DUMMYFUNCTION("""COMPUTED_VALUE"""),0)</f>
        <v>0</v>
      </c>
      <c r="M132" s="46">
        <f ca="1">IFERROR(__xludf.DUMMYFUNCTION("""COMPUTED_VALUE"""),0)</f>
        <v>0</v>
      </c>
      <c r="N132" s="46">
        <f ca="1">IFERROR(__xludf.DUMMYFUNCTION("""COMPUTED_VALUE"""),0)</f>
        <v>0</v>
      </c>
      <c r="O132" s="50">
        <f t="shared" ca="1" si="1"/>
        <v>0</v>
      </c>
    </row>
    <row r="133" spans="1:15" ht="12.75">
      <c r="A133" s="50" t="str">
        <f ca="1">IFERROR(__xludf.DUMMYFUNCTION("""COMPUTED_VALUE"""),"CD54")</f>
        <v>CD54</v>
      </c>
      <c r="B133" s="77" t="str">
        <f ca="1">IFERROR(__xludf.DUMMYFUNCTION("""COMPUTED_VALUE"""),"06540201")</f>
        <v>06540201</v>
      </c>
      <c r="C133" s="48" t="str">
        <f ca="1">IFERROR(__xludf.DUMMYFUNCTION("""COMPUTED_VALUE"""),"JOEUF Tennis de Table")</f>
        <v>JOEUF Tennis de Table</v>
      </c>
      <c r="D133" s="46">
        <f ca="1">IFERROR(__xludf.DUMMYFUNCTION("""COMPUTED_VALUE"""),1)</f>
        <v>1</v>
      </c>
      <c r="E133" s="46">
        <f ca="1">IFERROR(__xludf.DUMMYFUNCTION("""COMPUTED_VALUE"""),0)</f>
        <v>0</v>
      </c>
      <c r="F133" s="46">
        <f ca="1">IFERROR(__xludf.DUMMYFUNCTION("""COMPUTED_VALUE"""),0)</f>
        <v>0</v>
      </c>
      <c r="G133" s="46">
        <f ca="1">IFERROR(__xludf.DUMMYFUNCTION("""COMPUTED_VALUE"""),0)</f>
        <v>0</v>
      </c>
      <c r="H133" s="46">
        <f ca="1">IFERROR(__xludf.DUMMYFUNCTION("""COMPUTED_VALUE"""),0)</f>
        <v>0</v>
      </c>
      <c r="I133" s="46">
        <f ca="1">IFERROR(__xludf.DUMMYFUNCTION("""COMPUTED_VALUE"""),0)</f>
        <v>0</v>
      </c>
      <c r="J133" s="46">
        <f ca="1">IFERROR(__xludf.DUMMYFUNCTION("""COMPUTED_VALUE"""),0)</f>
        <v>0</v>
      </c>
      <c r="K133" s="46">
        <f ca="1">IFERROR(__xludf.DUMMYFUNCTION("""COMPUTED_VALUE"""),0)</f>
        <v>0</v>
      </c>
      <c r="L133" s="46">
        <f ca="1">IFERROR(__xludf.DUMMYFUNCTION("""COMPUTED_VALUE"""),0)</f>
        <v>0</v>
      </c>
      <c r="M133" s="46">
        <f ca="1">IFERROR(__xludf.DUMMYFUNCTION("""COMPUTED_VALUE"""),0)</f>
        <v>0</v>
      </c>
      <c r="N133" s="46">
        <f ca="1">IFERROR(__xludf.DUMMYFUNCTION("""COMPUTED_VALUE"""),0)</f>
        <v>0</v>
      </c>
      <c r="O133" s="50">
        <f t="shared" ca="1" si="1"/>
        <v>1</v>
      </c>
    </row>
    <row r="134" spans="1:15" ht="12.75">
      <c r="A134" s="50" t="str">
        <f ca="1">IFERROR(__xludf.DUMMYFUNCTION("""COMPUTED_VALUE"""),"CD54")</f>
        <v>CD54</v>
      </c>
      <c r="B134" s="77" t="str">
        <f ca="1">IFERROR(__xludf.DUMMYFUNCTION("""COMPUTED_VALUE"""),"06540202")</f>
        <v>06540202</v>
      </c>
      <c r="C134" s="48" t="str">
        <f ca="1">IFERROR(__xludf.DUMMYFUNCTION("""COMPUTED_VALUE"""),"ATTON FR TT")</f>
        <v>ATTON FR TT</v>
      </c>
      <c r="D134" s="46">
        <f ca="1">IFERROR(__xludf.DUMMYFUNCTION("""COMPUTED_VALUE"""),0)</f>
        <v>0</v>
      </c>
      <c r="E134" s="46">
        <f ca="1">IFERROR(__xludf.DUMMYFUNCTION("""COMPUTED_VALUE"""),0)</f>
        <v>0</v>
      </c>
      <c r="F134" s="46">
        <f ca="1">IFERROR(__xludf.DUMMYFUNCTION("""COMPUTED_VALUE"""),1)</f>
        <v>1</v>
      </c>
      <c r="G134" s="46">
        <f ca="1">IFERROR(__xludf.DUMMYFUNCTION("""COMPUTED_VALUE"""),0)</f>
        <v>0</v>
      </c>
      <c r="H134" s="46">
        <f ca="1">IFERROR(__xludf.DUMMYFUNCTION("""COMPUTED_VALUE"""),0)</f>
        <v>0</v>
      </c>
      <c r="I134" s="46">
        <f ca="1">IFERROR(__xludf.DUMMYFUNCTION("""COMPUTED_VALUE"""),1)</f>
        <v>1</v>
      </c>
      <c r="J134" s="46">
        <f ca="1">IFERROR(__xludf.DUMMYFUNCTION("""COMPUTED_VALUE"""),0)</f>
        <v>0</v>
      </c>
      <c r="K134" s="46">
        <f ca="1">IFERROR(__xludf.DUMMYFUNCTION("""COMPUTED_VALUE"""),0)</f>
        <v>0</v>
      </c>
      <c r="L134" s="46">
        <f ca="1">IFERROR(__xludf.DUMMYFUNCTION("""COMPUTED_VALUE"""),0)</f>
        <v>0</v>
      </c>
      <c r="M134" s="46">
        <f ca="1">IFERROR(__xludf.DUMMYFUNCTION("""COMPUTED_VALUE"""),0)</f>
        <v>0</v>
      </c>
      <c r="N134" s="46">
        <f ca="1">IFERROR(__xludf.DUMMYFUNCTION("""COMPUTED_VALUE"""),0)</f>
        <v>0</v>
      </c>
      <c r="O134" s="50">
        <f t="shared" ca="1" si="1"/>
        <v>2</v>
      </c>
    </row>
    <row r="135" spans="1:15" ht="12.75">
      <c r="A135" s="50" t="str">
        <f ca="1">IFERROR(__xludf.DUMMYFUNCTION("""COMPUTED_VALUE"""),"CD54")</f>
        <v>CD54</v>
      </c>
      <c r="B135" s="77" t="str">
        <f ca="1">IFERROR(__xludf.DUMMYFUNCTION("""COMPUTED_VALUE"""),"06540204")</f>
        <v>06540204</v>
      </c>
      <c r="C135" s="48" t="str">
        <f ca="1">IFERROR(__xludf.DUMMYFUNCTION("""COMPUTED_VALUE"""),"Tennis club de RICHARDMENIL")</f>
        <v>Tennis club de RICHARDMENIL</v>
      </c>
      <c r="D135" s="46">
        <f ca="1">IFERROR(__xludf.DUMMYFUNCTION("""COMPUTED_VALUE"""),0)</f>
        <v>0</v>
      </c>
      <c r="E135" s="46">
        <f ca="1">IFERROR(__xludf.DUMMYFUNCTION("""COMPUTED_VALUE"""),0)</f>
        <v>0</v>
      </c>
      <c r="F135" s="46">
        <f ca="1">IFERROR(__xludf.DUMMYFUNCTION("""COMPUTED_VALUE"""),0)</f>
        <v>0</v>
      </c>
      <c r="G135" s="46">
        <f ca="1">IFERROR(__xludf.DUMMYFUNCTION("""COMPUTED_VALUE"""),0)</f>
        <v>0</v>
      </c>
      <c r="H135" s="46">
        <f ca="1">IFERROR(__xludf.DUMMYFUNCTION("""COMPUTED_VALUE"""),0)</f>
        <v>0</v>
      </c>
      <c r="I135" s="46">
        <f ca="1">IFERROR(__xludf.DUMMYFUNCTION("""COMPUTED_VALUE"""),0)</f>
        <v>0</v>
      </c>
      <c r="J135" s="46">
        <f ca="1">IFERROR(__xludf.DUMMYFUNCTION("""COMPUTED_VALUE"""),0)</f>
        <v>0</v>
      </c>
      <c r="K135" s="46">
        <f ca="1">IFERROR(__xludf.DUMMYFUNCTION("""COMPUTED_VALUE"""),0)</f>
        <v>0</v>
      </c>
      <c r="L135" s="46">
        <f ca="1">IFERROR(__xludf.DUMMYFUNCTION("""COMPUTED_VALUE"""),0)</f>
        <v>0</v>
      </c>
      <c r="M135" s="46">
        <f ca="1">IFERROR(__xludf.DUMMYFUNCTION("""COMPUTED_VALUE"""),0)</f>
        <v>0</v>
      </c>
      <c r="N135" s="46">
        <f ca="1">IFERROR(__xludf.DUMMYFUNCTION("""COMPUTED_VALUE"""),0)</f>
        <v>0</v>
      </c>
      <c r="O135" s="50">
        <f t="shared" ca="1" si="1"/>
        <v>0</v>
      </c>
    </row>
    <row r="136" spans="1:15" ht="12.75">
      <c r="A136" s="50" t="str">
        <f ca="1">IFERROR(__xludf.DUMMYFUNCTION("""COMPUTED_VALUE"""),"CD55")</f>
        <v>CD55</v>
      </c>
      <c r="B136" s="77" t="str">
        <f ca="1">IFERROR(__xludf.DUMMYFUNCTION("""COMPUTED_VALUE"""),"06550003")</f>
        <v>06550003</v>
      </c>
      <c r="C136" s="48" t="str">
        <f ca="1">IFERROR(__xludf.DUMMYFUNCTION("""COMPUTED_VALUE"""),"COMMERCY P.P.C.")</f>
        <v>COMMERCY P.P.C.</v>
      </c>
      <c r="D136" s="46">
        <f ca="1">IFERROR(__xludf.DUMMYFUNCTION("""COMPUTED_VALUE"""),11)</f>
        <v>11</v>
      </c>
      <c r="E136" s="46">
        <f ca="1">IFERROR(__xludf.DUMMYFUNCTION("""COMPUTED_VALUE"""),0)</f>
        <v>0</v>
      </c>
      <c r="F136" s="46">
        <f ca="1">IFERROR(__xludf.DUMMYFUNCTION("""COMPUTED_VALUE"""),1)</f>
        <v>1</v>
      </c>
      <c r="G136" s="46">
        <f ca="1">IFERROR(__xludf.DUMMYFUNCTION("""COMPUTED_VALUE"""),0)</f>
        <v>0</v>
      </c>
      <c r="H136" s="46">
        <f ca="1">IFERROR(__xludf.DUMMYFUNCTION("""COMPUTED_VALUE"""),0)</f>
        <v>0</v>
      </c>
      <c r="I136" s="46">
        <f ca="1">IFERROR(__xludf.DUMMYFUNCTION("""COMPUTED_VALUE"""),0)</f>
        <v>0</v>
      </c>
      <c r="J136" s="46">
        <f ca="1">IFERROR(__xludf.DUMMYFUNCTION("""COMPUTED_VALUE"""),1)</f>
        <v>1</v>
      </c>
      <c r="K136" s="46">
        <f ca="1">IFERROR(__xludf.DUMMYFUNCTION("""COMPUTED_VALUE"""),0)</f>
        <v>0</v>
      </c>
      <c r="L136" s="46">
        <f ca="1">IFERROR(__xludf.DUMMYFUNCTION("""COMPUTED_VALUE"""),0)</f>
        <v>0</v>
      </c>
      <c r="M136" s="46">
        <f ca="1">IFERROR(__xludf.DUMMYFUNCTION("""COMPUTED_VALUE"""),0)</f>
        <v>0</v>
      </c>
      <c r="N136" s="46">
        <f ca="1">IFERROR(__xludf.DUMMYFUNCTION("""COMPUTED_VALUE"""),0)</f>
        <v>0</v>
      </c>
      <c r="O136" s="50">
        <f t="shared" ca="1" si="1"/>
        <v>13</v>
      </c>
    </row>
    <row r="137" spans="1:15" ht="12.75">
      <c r="A137" s="50" t="str">
        <f ca="1">IFERROR(__xludf.DUMMYFUNCTION("""COMPUTED_VALUE"""),"CD55")</f>
        <v>CD55</v>
      </c>
      <c r="B137" s="77" t="str">
        <f ca="1">IFERROR(__xludf.DUMMYFUNCTION("""COMPUTED_VALUE"""),"06550005")</f>
        <v>06550005</v>
      </c>
      <c r="C137" s="48" t="str">
        <f ca="1">IFERROR(__xludf.DUMMYFUNCTION("""COMPUTED_VALUE"""),"SAINT MIHIEL P.P.C.")</f>
        <v>SAINT MIHIEL P.P.C.</v>
      </c>
      <c r="D137" s="46">
        <f ca="1">IFERROR(__xludf.DUMMYFUNCTION("""COMPUTED_VALUE"""),6)</f>
        <v>6</v>
      </c>
      <c r="E137" s="46">
        <f ca="1">IFERROR(__xludf.DUMMYFUNCTION("""COMPUTED_VALUE"""),0)</f>
        <v>0</v>
      </c>
      <c r="F137" s="46">
        <f ca="1">IFERROR(__xludf.DUMMYFUNCTION("""COMPUTED_VALUE"""),3)</f>
        <v>3</v>
      </c>
      <c r="G137" s="46">
        <f ca="1">IFERROR(__xludf.DUMMYFUNCTION("""COMPUTED_VALUE"""),0)</f>
        <v>0</v>
      </c>
      <c r="H137" s="46">
        <f ca="1">IFERROR(__xludf.DUMMYFUNCTION("""COMPUTED_VALUE"""),0)</f>
        <v>0</v>
      </c>
      <c r="I137" s="46">
        <f ca="1">IFERROR(__xludf.DUMMYFUNCTION("""COMPUTED_VALUE"""),3)</f>
        <v>3</v>
      </c>
      <c r="J137" s="46">
        <f ca="1">IFERROR(__xludf.DUMMYFUNCTION("""COMPUTED_VALUE"""),0)</f>
        <v>0</v>
      </c>
      <c r="K137" s="46">
        <f ca="1">IFERROR(__xludf.DUMMYFUNCTION("""COMPUTED_VALUE"""),0)</f>
        <v>0</v>
      </c>
      <c r="L137" s="46">
        <f ca="1">IFERROR(__xludf.DUMMYFUNCTION("""COMPUTED_VALUE"""),0)</f>
        <v>0</v>
      </c>
      <c r="M137" s="46">
        <f ca="1">IFERROR(__xludf.DUMMYFUNCTION("""COMPUTED_VALUE"""),0)</f>
        <v>0</v>
      </c>
      <c r="N137" s="46">
        <f ca="1">IFERROR(__xludf.DUMMYFUNCTION("""COMPUTED_VALUE"""),0)</f>
        <v>0</v>
      </c>
      <c r="O137" s="50">
        <f t="shared" ca="1" si="1"/>
        <v>12</v>
      </c>
    </row>
    <row r="138" spans="1:15" ht="12.75">
      <c r="A138" s="50" t="str">
        <f ca="1">IFERROR(__xludf.DUMMYFUNCTION("""COMPUTED_VALUE"""),"CD55")</f>
        <v>CD55</v>
      </c>
      <c r="B138" s="77" t="str">
        <f ca="1">IFERROR(__xludf.DUMMYFUNCTION("""COMPUTED_VALUE"""),"06550007")</f>
        <v>06550007</v>
      </c>
      <c r="C138" s="48" t="str">
        <f ca="1">IFERROR(__xludf.DUMMYFUNCTION("""COMPUTED_VALUE"""),"ANCERVILLE M.J.C.")</f>
        <v>ANCERVILLE M.J.C.</v>
      </c>
      <c r="D138" s="46">
        <f ca="1">IFERROR(__xludf.DUMMYFUNCTION("""COMPUTED_VALUE"""),0)</f>
        <v>0</v>
      </c>
      <c r="E138" s="46">
        <f ca="1">IFERROR(__xludf.DUMMYFUNCTION("""COMPUTED_VALUE"""),0)</f>
        <v>0</v>
      </c>
      <c r="F138" s="46">
        <f ca="1">IFERROR(__xludf.DUMMYFUNCTION("""COMPUTED_VALUE"""),1)</f>
        <v>1</v>
      </c>
      <c r="G138" s="46">
        <f ca="1">IFERROR(__xludf.DUMMYFUNCTION("""COMPUTED_VALUE"""),0)</f>
        <v>0</v>
      </c>
      <c r="H138" s="46">
        <f ca="1">IFERROR(__xludf.DUMMYFUNCTION("""COMPUTED_VALUE"""),0)</f>
        <v>0</v>
      </c>
      <c r="I138" s="46">
        <f ca="1">IFERROR(__xludf.DUMMYFUNCTION("""COMPUTED_VALUE"""),0)</f>
        <v>0</v>
      </c>
      <c r="J138" s="46">
        <f ca="1">IFERROR(__xludf.DUMMYFUNCTION("""COMPUTED_VALUE"""),1)</f>
        <v>1</v>
      </c>
      <c r="K138" s="46">
        <f ca="1">IFERROR(__xludf.DUMMYFUNCTION("""COMPUTED_VALUE"""),0)</f>
        <v>0</v>
      </c>
      <c r="L138" s="46">
        <f ca="1">IFERROR(__xludf.DUMMYFUNCTION("""COMPUTED_VALUE"""),0)</f>
        <v>0</v>
      </c>
      <c r="M138" s="46">
        <f ca="1">IFERROR(__xludf.DUMMYFUNCTION("""COMPUTED_VALUE"""),0)</f>
        <v>0</v>
      </c>
      <c r="N138" s="46">
        <f ca="1">IFERROR(__xludf.DUMMYFUNCTION("""COMPUTED_VALUE"""),0)</f>
        <v>0</v>
      </c>
      <c r="O138" s="50">
        <f t="shared" ca="1" si="1"/>
        <v>2</v>
      </c>
    </row>
    <row r="139" spans="1:15" ht="12.75">
      <c r="A139" s="50" t="str">
        <f ca="1">IFERROR(__xludf.DUMMYFUNCTION("""COMPUTED_VALUE"""),"CD55")</f>
        <v>CD55</v>
      </c>
      <c r="B139" s="77" t="str">
        <f ca="1">IFERROR(__xludf.DUMMYFUNCTION("""COMPUTED_VALUE"""),"06550009")</f>
        <v>06550009</v>
      </c>
      <c r="C139" s="48" t="str">
        <f ca="1">IFERROR(__xludf.DUMMYFUNCTION("""COMPUTED_VALUE"""),"STENAY P.P.C.")</f>
        <v>STENAY P.P.C.</v>
      </c>
      <c r="D139" s="46">
        <f ca="1">IFERROR(__xludf.DUMMYFUNCTION("""COMPUTED_VALUE"""),0)</f>
        <v>0</v>
      </c>
      <c r="E139" s="46">
        <f ca="1">IFERROR(__xludf.DUMMYFUNCTION("""COMPUTED_VALUE"""),0)</f>
        <v>0</v>
      </c>
      <c r="F139" s="46">
        <f ca="1">IFERROR(__xludf.DUMMYFUNCTION("""COMPUTED_VALUE"""),0)</f>
        <v>0</v>
      </c>
      <c r="G139" s="46">
        <f ca="1">IFERROR(__xludf.DUMMYFUNCTION("""COMPUTED_VALUE"""),0)</f>
        <v>0</v>
      </c>
      <c r="H139" s="46">
        <f ca="1">IFERROR(__xludf.DUMMYFUNCTION("""COMPUTED_VALUE"""),0)</f>
        <v>0</v>
      </c>
      <c r="I139" s="46">
        <f ca="1">IFERROR(__xludf.DUMMYFUNCTION("""COMPUTED_VALUE"""),0)</f>
        <v>0</v>
      </c>
      <c r="J139" s="46">
        <f ca="1">IFERROR(__xludf.DUMMYFUNCTION("""COMPUTED_VALUE"""),0)</f>
        <v>0</v>
      </c>
      <c r="K139" s="46">
        <f ca="1">IFERROR(__xludf.DUMMYFUNCTION("""COMPUTED_VALUE"""),0)</f>
        <v>0</v>
      </c>
      <c r="L139" s="46">
        <f ca="1">IFERROR(__xludf.DUMMYFUNCTION("""COMPUTED_VALUE"""),0)</f>
        <v>0</v>
      </c>
      <c r="M139" s="46">
        <f ca="1">IFERROR(__xludf.DUMMYFUNCTION("""COMPUTED_VALUE"""),0)</f>
        <v>0</v>
      </c>
      <c r="N139" s="46">
        <f ca="1">IFERROR(__xludf.DUMMYFUNCTION("""COMPUTED_VALUE"""),0)</f>
        <v>0</v>
      </c>
      <c r="O139" s="50">
        <f t="shared" ca="1" si="1"/>
        <v>0</v>
      </c>
    </row>
    <row r="140" spans="1:15" ht="12.75">
      <c r="A140" s="50" t="str">
        <f ca="1">IFERROR(__xludf.DUMMYFUNCTION("""COMPUTED_VALUE"""),"CD55")</f>
        <v>CD55</v>
      </c>
      <c r="B140" s="77" t="str">
        <f ca="1">IFERROR(__xludf.DUMMYFUNCTION("""COMPUTED_VALUE"""),"06550013")</f>
        <v>06550013</v>
      </c>
      <c r="C140" s="48" t="str">
        <f ca="1">IFERROR(__xludf.DUMMYFUNCTION("""COMPUTED_VALUE"""),"VERDUN S.A.V.T.T.")</f>
        <v>VERDUN S.A.V.T.T.</v>
      </c>
      <c r="D140" s="46">
        <f ca="1">IFERROR(__xludf.DUMMYFUNCTION("""COMPUTED_VALUE"""),4)</f>
        <v>4</v>
      </c>
      <c r="E140" s="46">
        <f ca="1">IFERROR(__xludf.DUMMYFUNCTION("""COMPUTED_VALUE"""),0)</f>
        <v>0</v>
      </c>
      <c r="F140" s="46">
        <f ca="1">IFERROR(__xludf.DUMMYFUNCTION("""COMPUTED_VALUE"""),5)</f>
        <v>5</v>
      </c>
      <c r="G140" s="46">
        <f ca="1">IFERROR(__xludf.DUMMYFUNCTION("""COMPUTED_VALUE"""),0)</f>
        <v>0</v>
      </c>
      <c r="H140" s="46">
        <f ca="1">IFERROR(__xludf.DUMMYFUNCTION("""COMPUTED_VALUE"""),0)</f>
        <v>0</v>
      </c>
      <c r="I140" s="46">
        <f ca="1">IFERROR(__xludf.DUMMYFUNCTION("""COMPUTED_VALUE"""),1)</f>
        <v>1</v>
      </c>
      <c r="J140" s="46">
        <f ca="1">IFERROR(__xludf.DUMMYFUNCTION("""COMPUTED_VALUE"""),1)</f>
        <v>1</v>
      </c>
      <c r="K140" s="46">
        <f ca="1">IFERROR(__xludf.DUMMYFUNCTION("""COMPUTED_VALUE"""),0)</f>
        <v>0</v>
      </c>
      <c r="L140" s="46">
        <f ca="1">IFERROR(__xludf.DUMMYFUNCTION("""COMPUTED_VALUE"""),0)</f>
        <v>0</v>
      </c>
      <c r="M140" s="46">
        <f ca="1">IFERROR(__xludf.DUMMYFUNCTION("""COMPUTED_VALUE"""),0)</f>
        <v>0</v>
      </c>
      <c r="N140" s="46">
        <f ca="1">IFERROR(__xludf.DUMMYFUNCTION("""COMPUTED_VALUE"""),0)</f>
        <v>0</v>
      </c>
      <c r="O140" s="50">
        <f t="shared" ca="1" si="1"/>
        <v>11</v>
      </c>
    </row>
    <row r="141" spans="1:15" ht="12.75">
      <c r="A141" s="50" t="str">
        <f ca="1">IFERROR(__xludf.DUMMYFUNCTION("""COMPUTED_VALUE"""),"CD55")</f>
        <v>CD55</v>
      </c>
      <c r="B141" s="77" t="str">
        <f ca="1">IFERROR(__xludf.DUMMYFUNCTION("""COMPUTED_VALUE"""),"06550020")</f>
        <v>06550020</v>
      </c>
      <c r="C141" s="48" t="str">
        <f ca="1">IFERROR(__xludf.DUMMYFUNCTION("""COMPUTED_VALUE"""),"FAINS LES SOURCES AEL")</f>
        <v>FAINS LES SOURCES AEL</v>
      </c>
      <c r="D141" s="46">
        <f ca="1">IFERROR(__xludf.DUMMYFUNCTION("""COMPUTED_VALUE"""),1)</f>
        <v>1</v>
      </c>
      <c r="E141" s="46">
        <f ca="1">IFERROR(__xludf.DUMMYFUNCTION("""COMPUTED_VALUE"""),0)</f>
        <v>0</v>
      </c>
      <c r="F141" s="46">
        <f ca="1">IFERROR(__xludf.DUMMYFUNCTION("""COMPUTED_VALUE"""),2)</f>
        <v>2</v>
      </c>
      <c r="G141" s="46">
        <f ca="1">IFERROR(__xludf.DUMMYFUNCTION("""COMPUTED_VALUE"""),0)</f>
        <v>0</v>
      </c>
      <c r="H141" s="46">
        <f ca="1">IFERROR(__xludf.DUMMYFUNCTION("""COMPUTED_VALUE"""),0)</f>
        <v>0</v>
      </c>
      <c r="I141" s="46">
        <f ca="1">IFERROR(__xludf.DUMMYFUNCTION("""COMPUTED_VALUE"""),1)</f>
        <v>1</v>
      </c>
      <c r="J141" s="46">
        <f ca="1">IFERROR(__xludf.DUMMYFUNCTION("""COMPUTED_VALUE"""),0)</f>
        <v>0</v>
      </c>
      <c r="K141" s="46">
        <f ca="1">IFERROR(__xludf.DUMMYFUNCTION("""COMPUTED_VALUE"""),1)</f>
        <v>1</v>
      </c>
      <c r="L141" s="46">
        <f ca="1">IFERROR(__xludf.DUMMYFUNCTION("""COMPUTED_VALUE"""),0)</f>
        <v>0</v>
      </c>
      <c r="M141" s="46">
        <f ca="1">IFERROR(__xludf.DUMMYFUNCTION("""COMPUTED_VALUE"""),0)</f>
        <v>0</v>
      </c>
      <c r="N141" s="46">
        <f ca="1">IFERROR(__xludf.DUMMYFUNCTION("""COMPUTED_VALUE"""),1)</f>
        <v>1</v>
      </c>
      <c r="O141" s="50">
        <f t="shared" ca="1" si="1"/>
        <v>6</v>
      </c>
    </row>
    <row r="142" spans="1:15" ht="12.75">
      <c r="A142" s="50" t="str">
        <f ca="1">IFERROR(__xludf.DUMMYFUNCTION("""COMPUTED_VALUE"""),"CD55")</f>
        <v>CD55</v>
      </c>
      <c r="B142" s="77" t="str">
        <f ca="1">IFERROR(__xludf.DUMMYFUNCTION("""COMPUTED_VALUE"""),"06550034")</f>
        <v>06550034</v>
      </c>
      <c r="C142" s="48" t="str">
        <f ca="1">IFERROR(__xludf.DUMMYFUNCTION("""COMPUTED_VALUE"""),"ETAIN R.A.S.S.")</f>
        <v>ETAIN R.A.S.S.</v>
      </c>
      <c r="D142" s="46">
        <f ca="1">IFERROR(__xludf.DUMMYFUNCTION("""COMPUTED_VALUE"""),0)</f>
        <v>0</v>
      </c>
      <c r="E142" s="46">
        <f ca="1">IFERROR(__xludf.DUMMYFUNCTION("""COMPUTED_VALUE"""),0)</f>
        <v>0</v>
      </c>
      <c r="F142" s="46">
        <f ca="1">IFERROR(__xludf.DUMMYFUNCTION("""COMPUTED_VALUE"""),0)</f>
        <v>0</v>
      </c>
      <c r="G142" s="46">
        <f ca="1">IFERROR(__xludf.DUMMYFUNCTION("""COMPUTED_VALUE"""),0)</f>
        <v>0</v>
      </c>
      <c r="H142" s="46">
        <f ca="1">IFERROR(__xludf.DUMMYFUNCTION("""COMPUTED_VALUE"""),0)</f>
        <v>0</v>
      </c>
      <c r="I142" s="46">
        <f ca="1">IFERROR(__xludf.DUMMYFUNCTION("""COMPUTED_VALUE"""),0)</f>
        <v>0</v>
      </c>
      <c r="J142" s="46">
        <f ca="1">IFERROR(__xludf.DUMMYFUNCTION("""COMPUTED_VALUE"""),0)</f>
        <v>0</v>
      </c>
      <c r="K142" s="46">
        <f ca="1">IFERROR(__xludf.DUMMYFUNCTION("""COMPUTED_VALUE"""),0)</f>
        <v>0</v>
      </c>
      <c r="L142" s="46">
        <f ca="1">IFERROR(__xludf.DUMMYFUNCTION("""COMPUTED_VALUE"""),0)</f>
        <v>0</v>
      </c>
      <c r="M142" s="46">
        <f ca="1">IFERROR(__xludf.DUMMYFUNCTION("""COMPUTED_VALUE"""),0)</f>
        <v>0</v>
      </c>
      <c r="N142" s="46">
        <f ca="1">IFERROR(__xludf.DUMMYFUNCTION("""COMPUTED_VALUE"""),0)</f>
        <v>0</v>
      </c>
      <c r="O142" s="50">
        <f t="shared" ca="1" si="1"/>
        <v>0</v>
      </c>
    </row>
    <row r="143" spans="1:15" ht="12.75">
      <c r="A143" s="50" t="str">
        <f ca="1">IFERROR(__xludf.DUMMYFUNCTION("""COMPUTED_VALUE"""),"CD55")</f>
        <v>CD55</v>
      </c>
      <c r="B143" s="77" t="str">
        <f ca="1">IFERROR(__xludf.DUMMYFUNCTION("""COMPUTED_VALUE"""),"06550052")</f>
        <v>06550052</v>
      </c>
      <c r="C143" s="48" t="str">
        <f ca="1">IFERROR(__xludf.DUMMYFUNCTION("""COMPUTED_VALUE"""),"LIGNY EN BARROIS T.T.")</f>
        <v>LIGNY EN BARROIS T.T.</v>
      </c>
      <c r="D143" s="46">
        <f ca="1">IFERROR(__xludf.DUMMYFUNCTION("""COMPUTED_VALUE"""),0)</f>
        <v>0</v>
      </c>
      <c r="E143" s="46">
        <f ca="1">IFERROR(__xludf.DUMMYFUNCTION("""COMPUTED_VALUE"""),0)</f>
        <v>0</v>
      </c>
      <c r="F143" s="46">
        <f ca="1">IFERROR(__xludf.DUMMYFUNCTION("""COMPUTED_VALUE"""),1)</f>
        <v>1</v>
      </c>
      <c r="G143" s="46">
        <f ca="1">IFERROR(__xludf.DUMMYFUNCTION("""COMPUTED_VALUE"""),0)</f>
        <v>0</v>
      </c>
      <c r="H143" s="46">
        <f ca="1">IFERROR(__xludf.DUMMYFUNCTION("""COMPUTED_VALUE"""),0)</f>
        <v>0</v>
      </c>
      <c r="I143" s="46">
        <f ca="1">IFERROR(__xludf.DUMMYFUNCTION("""COMPUTED_VALUE"""),1)</f>
        <v>1</v>
      </c>
      <c r="J143" s="46">
        <f ca="1">IFERROR(__xludf.DUMMYFUNCTION("""COMPUTED_VALUE"""),0)</f>
        <v>0</v>
      </c>
      <c r="K143" s="46">
        <f ca="1">IFERROR(__xludf.DUMMYFUNCTION("""COMPUTED_VALUE"""),0)</f>
        <v>0</v>
      </c>
      <c r="L143" s="46">
        <f ca="1">IFERROR(__xludf.DUMMYFUNCTION("""COMPUTED_VALUE"""),0)</f>
        <v>0</v>
      </c>
      <c r="M143" s="46">
        <f ca="1">IFERROR(__xludf.DUMMYFUNCTION("""COMPUTED_VALUE"""),0)</f>
        <v>0</v>
      </c>
      <c r="N143" s="46">
        <f ca="1">IFERROR(__xludf.DUMMYFUNCTION("""COMPUTED_VALUE"""),0)</f>
        <v>0</v>
      </c>
      <c r="O143" s="50">
        <f t="shared" ca="1" si="1"/>
        <v>2</v>
      </c>
    </row>
    <row r="144" spans="1:15" ht="12.75">
      <c r="A144" s="50" t="str">
        <f ca="1">IFERROR(__xludf.DUMMYFUNCTION("""COMPUTED_VALUE"""),"CD50")</f>
        <v>CD50</v>
      </c>
      <c r="B144" s="77">
        <f ca="1">IFERROR(__xludf.DUMMYFUNCTION("""COMPUTED_VALUE"""),6550058)</f>
        <v>6550058</v>
      </c>
      <c r="C144" s="48" t="str">
        <f ca="1">IFERROR(__xludf.DUMMYFUNCTION("""COMPUTED_VALUE"""),"Les Loups de DAMVILLERS ASTT ")</f>
        <v xml:space="preserve">Les Loups de DAMVILLERS ASTT </v>
      </c>
      <c r="D144" s="46">
        <f ca="1">IFERROR(__xludf.DUMMYFUNCTION("""COMPUTED_VALUE"""),2)</f>
        <v>2</v>
      </c>
      <c r="E144" s="46">
        <f ca="1">IFERROR(__xludf.DUMMYFUNCTION("""COMPUTED_VALUE"""),0)</f>
        <v>0</v>
      </c>
      <c r="F144" s="46">
        <f ca="1">IFERROR(__xludf.DUMMYFUNCTION("""COMPUTED_VALUE"""),5)</f>
        <v>5</v>
      </c>
      <c r="G144" s="46">
        <f ca="1">IFERROR(__xludf.DUMMYFUNCTION("""COMPUTED_VALUE"""),1)</f>
        <v>1</v>
      </c>
      <c r="H144" s="46">
        <f ca="1">IFERROR(__xludf.DUMMYFUNCTION("""COMPUTED_VALUE"""),0)</f>
        <v>0</v>
      </c>
      <c r="I144" s="46">
        <f ca="1">IFERROR(__xludf.DUMMYFUNCTION("""COMPUTED_VALUE"""),2)</f>
        <v>2</v>
      </c>
      <c r="J144" s="46">
        <f ca="1">IFERROR(__xludf.DUMMYFUNCTION("""COMPUTED_VALUE"""),1)</f>
        <v>1</v>
      </c>
      <c r="K144" s="46">
        <f ca="1">IFERROR(__xludf.DUMMYFUNCTION("""COMPUTED_VALUE"""),0)</f>
        <v>0</v>
      </c>
      <c r="L144" s="46">
        <f ca="1">IFERROR(__xludf.DUMMYFUNCTION("""COMPUTED_VALUE"""),0)</f>
        <v>0</v>
      </c>
      <c r="M144" s="46">
        <f ca="1">IFERROR(__xludf.DUMMYFUNCTION("""COMPUTED_VALUE"""),0)</f>
        <v>0</v>
      </c>
      <c r="N144" s="46">
        <f ca="1">IFERROR(__xludf.DUMMYFUNCTION("""COMPUTED_VALUE"""),1)</f>
        <v>1</v>
      </c>
      <c r="O144" s="50">
        <f t="shared" ca="1" si="1"/>
        <v>12</v>
      </c>
    </row>
    <row r="145" spans="1:15" ht="12.75">
      <c r="A145" s="50" t="str">
        <f ca="1">IFERROR(__xludf.DUMMYFUNCTION("""COMPUTED_VALUE"""),"CD57")</f>
        <v>CD57</v>
      </c>
      <c r="B145" s="77" t="str">
        <f ca="1">IFERROR(__xludf.DUMMYFUNCTION("""COMPUTED_VALUE"""),"06570005")</f>
        <v>06570005</v>
      </c>
      <c r="C145" s="48" t="str">
        <f ca="1">IFERROR(__xludf.DUMMYFUNCTION("""COMPUTED_VALUE"""),"FAULQUEMONT E.S.C.")</f>
        <v>FAULQUEMONT E.S.C.</v>
      </c>
      <c r="D145" s="46">
        <f ca="1">IFERROR(__xludf.DUMMYFUNCTION("""COMPUTED_VALUE"""),7)</f>
        <v>7</v>
      </c>
      <c r="E145" s="46">
        <f ca="1">IFERROR(__xludf.DUMMYFUNCTION("""COMPUTED_VALUE"""),0)</f>
        <v>0</v>
      </c>
      <c r="F145" s="46">
        <f ca="1">IFERROR(__xludf.DUMMYFUNCTION("""COMPUTED_VALUE"""),5)</f>
        <v>5</v>
      </c>
      <c r="G145" s="46">
        <f ca="1">IFERROR(__xludf.DUMMYFUNCTION("""COMPUTED_VALUE"""),0)</f>
        <v>0</v>
      </c>
      <c r="H145" s="46">
        <f ca="1">IFERROR(__xludf.DUMMYFUNCTION("""COMPUTED_VALUE"""),1)</f>
        <v>1</v>
      </c>
      <c r="I145" s="46">
        <f ca="1">IFERROR(__xludf.DUMMYFUNCTION("""COMPUTED_VALUE"""),1)</f>
        <v>1</v>
      </c>
      <c r="J145" s="46">
        <f ca="1">IFERROR(__xludf.DUMMYFUNCTION("""COMPUTED_VALUE"""),1)</f>
        <v>1</v>
      </c>
      <c r="K145" s="46">
        <f ca="1">IFERROR(__xludf.DUMMYFUNCTION("""COMPUTED_VALUE"""),1)</f>
        <v>1</v>
      </c>
      <c r="L145" s="46">
        <f ca="1">IFERROR(__xludf.DUMMYFUNCTION("""COMPUTED_VALUE"""),0)</f>
        <v>0</v>
      </c>
      <c r="M145" s="46">
        <f ca="1">IFERROR(__xludf.DUMMYFUNCTION("""COMPUTED_VALUE"""),1)</f>
        <v>1</v>
      </c>
      <c r="N145" s="46">
        <f ca="1">IFERROR(__xludf.DUMMYFUNCTION("""COMPUTED_VALUE"""),1)</f>
        <v>1</v>
      </c>
      <c r="O145" s="50">
        <f t="shared" ca="1" si="1"/>
        <v>18</v>
      </c>
    </row>
    <row r="146" spans="1:15" ht="12.75">
      <c r="A146" s="50" t="str">
        <f ca="1">IFERROR(__xludf.DUMMYFUNCTION("""COMPUTED_VALUE"""),"CD57")</f>
        <v>CD57</v>
      </c>
      <c r="B146" s="77" t="str">
        <f ca="1">IFERROR(__xludf.DUMMYFUNCTION("""COMPUTED_VALUE"""),"06570007")</f>
        <v>06570007</v>
      </c>
      <c r="C146" s="48" t="str">
        <f ca="1">IFERROR(__xludf.DUMMYFUNCTION("""COMPUTED_VALUE"""),"HAGONDANGE E.S.")</f>
        <v>HAGONDANGE E.S.</v>
      </c>
      <c r="D146" s="46">
        <f ca="1">IFERROR(__xludf.DUMMYFUNCTION("""COMPUTED_VALUE"""),0)</f>
        <v>0</v>
      </c>
      <c r="E146" s="46">
        <f ca="1">IFERROR(__xludf.DUMMYFUNCTION("""COMPUTED_VALUE"""),0)</f>
        <v>0</v>
      </c>
      <c r="F146" s="46">
        <f ca="1">IFERROR(__xludf.DUMMYFUNCTION("""COMPUTED_VALUE"""),1)</f>
        <v>1</v>
      </c>
      <c r="G146" s="46">
        <f ca="1">IFERROR(__xludf.DUMMYFUNCTION("""COMPUTED_VALUE"""),0)</f>
        <v>0</v>
      </c>
      <c r="H146" s="46">
        <f ca="1">IFERROR(__xludf.DUMMYFUNCTION("""COMPUTED_VALUE"""),0)</f>
        <v>0</v>
      </c>
      <c r="I146" s="46">
        <f ca="1">IFERROR(__xludf.DUMMYFUNCTION("""COMPUTED_VALUE"""),1)</f>
        <v>1</v>
      </c>
      <c r="J146" s="46">
        <f ca="1">IFERROR(__xludf.DUMMYFUNCTION("""COMPUTED_VALUE"""),0)</f>
        <v>0</v>
      </c>
      <c r="K146" s="46">
        <f ca="1">IFERROR(__xludf.DUMMYFUNCTION("""COMPUTED_VALUE"""),0)</f>
        <v>0</v>
      </c>
      <c r="L146" s="46">
        <f ca="1">IFERROR(__xludf.DUMMYFUNCTION("""COMPUTED_VALUE"""),0)</f>
        <v>0</v>
      </c>
      <c r="M146" s="46">
        <f ca="1">IFERROR(__xludf.DUMMYFUNCTION("""COMPUTED_VALUE"""),0)</f>
        <v>0</v>
      </c>
      <c r="N146" s="46">
        <f ca="1">IFERROR(__xludf.DUMMYFUNCTION("""COMPUTED_VALUE"""),0)</f>
        <v>0</v>
      </c>
      <c r="O146" s="50">
        <f t="shared" ca="1" si="1"/>
        <v>2</v>
      </c>
    </row>
    <row r="147" spans="1:15" ht="12.75">
      <c r="A147" s="50" t="str">
        <f ca="1">IFERROR(__xludf.DUMMYFUNCTION("""COMPUTED_VALUE"""),"CD57")</f>
        <v>CD57</v>
      </c>
      <c r="B147" s="77" t="str">
        <f ca="1">IFERROR(__xludf.DUMMYFUNCTION("""COMPUTED_VALUE"""),"06570008")</f>
        <v>06570008</v>
      </c>
      <c r="C147" s="48" t="str">
        <f ca="1">IFERROR(__xludf.DUMMYFUNCTION("""COMPUTED_VALUE"""),"L HOPITAL P.P.C. ")</f>
        <v xml:space="preserve">L HOPITAL P.P.C. </v>
      </c>
      <c r="D147" s="46">
        <f ca="1">IFERROR(__xludf.DUMMYFUNCTION("""COMPUTED_VALUE"""),0)</f>
        <v>0</v>
      </c>
      <c r="E147" s="46">
        <f ca="1">IFERROR(__xludf.DUMMYFUNCTION("""COMPUTED_VALUE"""),0)</f>
        <v>0</v>
      </c>
      <c r="F147" s="46">
        <f ca="1">IFERROR(__xludf.DUMMYFUNCTION("""COMPUTED_VALUE"""),1)</f>
        <v>1</v>
      </c>
      <c r="G147" s="46">
        <f ca="1">IFERROR(__xludf.DUMMYFUNCTION("""COMPUTED_VALUE"""),0)</f>
        <v>0</v>
      </c>
      <c r="H147" s="46">
        <f ca="1">IFERROR(__xludf.DUMMYFUNCTION("""COMPUTED_VALUE"""),0)</f>
        <v>0</v>
      </c>
      <c r="I147" s="46">
        <f ca="1">IFERROR(__xludf.DUMMYFUNCTION("""COMPUTED_VALUE"""),1)</f>
        <v>1</v>
      </c>
      <c r="J147" s="46">
        <f ca="1">IFERROR(__xludf.DUMMYFUNCTION("""COMPUTED_VALUE"""),0)</f>
        <v>0</v>
      </c>
      <c r="K147" s="46">
        <f ca="1">IFERROR(__xludf.DUMMYFUNCTION("""COMPUTED_VALUE"""),0)</f>
        <v>0</v>
      </c>
      <c r="L147" s="46">
        <f ca="1">IFERROR(__xludf.DUMMYFUNCTION("""COMPUTED_VALUE"""),0)</f>
        <v>0</v>
      </c>
      <c r="M147" s="46">
        <f ca="1">IFERROR(__xludf.DUMMYFUNCTION("""COMPUTED_VALUE"""),0)</f>
        <v>0</v>
      </c>
      <c r="N147" s="46">
        <f ca="1">IFERROR(__xludf.DUMMYFUNCTION("""COMPUTED_VALUE"""),0)</f>
        <v>0</v>
      </c>
      <c r="O147" s="50">
        <f t="shared" ca="1" si="1"/>
        <v>2</v>
      </c>
    </row>
    <row r="148" spans="1:15" ht="12.75">
      <c r="A148" s="50" t="str">
        <f ca="1">IFERROR(__xludf.DUMMYFUNCTION("""COMPUTED_VALUE"""),"CD57")</f>
        <v>CD57</v>
      </c>
      <c r="B148" s="77" t="str">
        <f ca="1">IFERROR(__xludf.DUMMYFUNCTION("""COMPUTED_VALUE"""),"06570014")</f>
        <v>06570014</v>
      </c>
      <c r="C148" s="48" t="str">
        <f ca="1">IFERROR(__xludf.DUMMYFUNCTION("""COMPUTED_VALUE"""),"MANOM J.S.")</f>
        <v>MANOM J.S.</v>
      </c>
      <c r="D148" s="46">
        <f ca="1">IFERROR(__xludf.DUMMYFUNCTION("""COMPUTED_VALUE"""),0)</f>
        <v>0</v>
      </c>
      <c r="E148" s="46">
        <f ca="1">IFERROR(__xludf.DUMMYFUNCTION("""COMPUTED_VALUE"""),0)</f>
        <v>0</v>
      </c>
      <c r="F148" s="46">
        <f ca="1">IFERROR(__xludf.DUMMYFUNCTION("""COMPUTED_VALUE"""),5)</f>
        <v>5</v>
      </c>
      <c r="G148" s="46">
        <f ca="1">IFERROR(__xludf.DUMMYFUNCTION("""COMPUTED_VALUE"""),0)</f>
        <v>0</v>
      </c>
      <c r="H148" s="46">
        <f ca="1">IFERROR(__xludf.DUMMYFUNCTION("""COMPUTED_VALUE"""),0)</f>
        <v>0</v>
      </c>
      <c r="I148" s="46">
        <f ca="1">IFERROR(__xludf.DUMMYFUNCTION("""COMPUTED_VALUE"""),2)</f>
        <v>2</v>
      </c>
      <c r="J148" s="46">
        <f ca="1">IFERROR(__xludf.DUMMYFUNCTION("""COMPUTED_VALUE"""),1)</f>
        <v>1</v>
      </c>
      <c r="K148" s="46">
        <f ca="1">IFERROR(__xludf.DUMMYFUNCTION("""COMPUTED_VALUE"""),1)</f>
        <v>1</v>
      </c>
      <c r="L148" s="46">
        <f ca="1">IFERROR(__xludf.DUMMYFUNCTION("""COMPUTED_VALUE"""),0)</f>
        <v>0</v>
      </c>
      <c r="M148" s="46">
        <f ca="1">IFERROR(__xludf.DUMMYFUNCTION("""COMPUTED_VALUE"""),0)</f>
        <v>0</v>
      </c>
      <c r="N148" s="46">
        <f ca="1">IFERROR(__xludf.DUMMYFUNCTION("""COMPUTED_VALUE"""),0)</f>
        <v>0</v>
      </c>
      <c r="O148" s="50">
        <f t="shared" ca="1" si="1"/>
        <v>9</v>
      </c>
    </row>
    <row r="149" spans="1:15" ht="12.75">
      <c r="A149" s="50" t="str">
        <f ca="1">IFERROR(__xludf.DUMMYFUNCTION("""COMPUTED_VALUE"""),"CD57")</f>
        <v>CD57</v>
      </c>
      <c r="B149" s="77" t="str">
        <f ca="1">IFERROR(__xludf.DUMMYFUNCTION("""COMPUTED_VALUE"""),"06570015")</f>
        <v>06570015</v>
      </c>
      <c r="C149" s="48" t="str">
        <f ca="1">IFERROR(__xludf.DUMMYFUNCTION("""COMPUTED_VALUE"""),"MONTIGNY LES METZ T.T.")</f>
        <v>MONTIGNY LES METZ T.T.</v>
      </c>
      <c r="D149" s="46">
        <f ca="1">IFERROR(__xludf.DUMMYFUNCTION("""COMPUTED_VALUE"""),0)</f>
        <v>0</v>
      </c>
      <c r="E149" s="46">
        <f ca="1">IFERROR(__xludf.DUMMYFUNCTION("""COMPUTED_VALUE"""),0)</f>
        <v>0</v>
      </c>
      <c r="F149" s="46">
        <f ca="1">IFERROR(__xludf.DUMMYFUNCTION("""COMPUTED_VALUE"""),3)</f>
        <v>3</v>
      </c>
      <c r="G149" s="46">
        <f ca="1">IFERROR(__xludf.DUMMYFUNCTION("""COMPUTED_VALUE"""),0)</f>
        <v>0</v>
      </c>
      <c r="H149" s="46">
        <f ca="1">IFERROR(__xludf.DUMMYFUNCTION("""COMPUTED_VALUE"""),0)</f>
        <v>0</v>
      </c>
      <c r="I149" s="46">
        <f ca="1">IFERROR(__xludf.DUMMYFUNCTION("""COMPUTED_VALUE"""),3)</f>
        <v>3</v>
      </c>
      <c r="J149" s="46">
        <f ca="1">IFERROR(__xludf.DUMMYFUNCTION("""COMPUTED_VALUE"""),0)</f>
        <v>0</v>
      </c>
      <c r="K149" s="46">
        <f ca="1">IFERROR(__xludf.DUMMYFUNCTION("""COMPUTED_VALUE"""),0)</f>
        <v>0</v>
      </c>
      <c r="L149" s="46">
        <f ca="1">IFERROR(__xludf.DUMMYFUNCTION("""COMPUTED_VALUE"""),0)</f>
        <v>0</v>
      </c>
      <c r="M149" s="46">
        <f ca="1">IFERROR(__xludf.DUMMYFUNCTION("""COMPUTED_VALUE"""),0)</f>
        <v>0</v>
      </c>
      <c r="N149" s="46">
        <f ca="1">IFERROR(__xludf.DUMMYFUNCTION("""COMPUTED_VALUE"""),0)</f>
        <v>0</v>
      </c>
      <c r="O149" s="50">
        <f t="shared" ca="1" si="1"/>
        <v>6</v>
      </c>
    </row>
    <row r="150" spans="1:15" ht="12.75">
      <c r="A150" s="50" t="str">
        <f ca="1">IFERROR(__xludf.DUMMYFUNCTION("""COMPUTED_VALUE"""),"CD57")</f>
        <v>CD57</v>
      </c>
      <c r="B150" s="77" t="str">
        <f ca="1">IFERROR(__xludf.DUMMYFUNCTION("""COMPUTED_VALUE"""),"06570018")</f>
        <v>06570018</v>
      </c>
      <c r="C150" s="48" t="str">
        <f ca="1">IFERROR(__xludf.DUMMYFUNCTION("""COMPUTED_VALUE"""),"OBERGAILBACH U.P.")</f>
        <v>OBERGAILBACH U.P.</v>
      </c>
      <c r="D150" s="46">
        <f ca="1">IFERROR(__xludf.DUMMYFUNCTION("""COMPUTED_VALUE"""),0)</f>
        <v>0</v>
      </c>
      <c r="E150" s="46">
        <f ca="1">IFERROR(__xludf.DUMMYFUNCTION("""COMPUTED_VALUE"""),0)</f>
        <v>0</v>
      </c>
      <c r="F150" s="46">
        <f ca="1">IFERROR(__xludf.DUMMYFUNCTION("""COMPUTED_VALUE"""),3)</f>
        <v>3</v>
      </c>
      <c r="G150" s="46">
        <f ca="1">IFERROR(__xludf.DUMMYFUNCTION("""COMPUTED_VALUE"""),0)</f>
        <v>0</v>
      </c>
      <c r="H150" s="46">
        <f ca="1">IFERROR(__xludf.DUMMYFUNCTION("""COMPUTED_VALUE"""),0)</f>
        <v>0</v>
      </c>
      <c r="I150" s="46">
        <f ca="1">IFERROR(__xludf.DUMMYFUNCTION("""COMPUTED_VALUE"""),1)</f>
        <v>1</v>
      </c>
      <c r="J150" s="46">
        <f ca="1">IFERROR(__xludf.DUMMYFUNCTION("""COMPUTED_VALUE"""),0)</f>
        <v>0</v>
      </c>
      <c r="K150" s="46">
        <f ca="1">IFERROR(__xludf.DUMMYFUNCTION("""COMPUTED_VALUE"""),0)</f>
        <v>0</v>
      </c>
      <c r="L150" s="46">
        <f ca="1">IFERROR(__xludf.DUMMYFUNCTION("""COMPUTED_VALUE"""),0)</f>
        <v>0</v>
      </c>
      <c r="M150" s="46">
        <f ca="1">IFERROR(__xludf.DUMMYFUNCTION("""COMPUTED_VALUE"""),0)</f>
        <v>0</v>
      </c>
      <c r="N150" s="46">
        <f ca="1">IFERROR(__xludf.DUMMYFUNCTION("""COMPUTED_VALUE"""),0)</f>
        <v>0</v>
      </c>
      <c r="O150" s="50">
        <f t="shared" ca="1" si="1"/>
        <v>4</v>
      </c>
    </row>
    <row r="151" spans="1:15" ht="12.75">
      <c r="A151" s="50" t="str">
        <f ca="1">IFERROR(__xludf.DUMMYFUNCTION("""COMPUTED_VALUE"""),"CD57")</f>
        <v>CD57</v>
      </c>
      <c r="B151" s="77" t="str">
        <f ca="1">IFERROR(__xludf.DUMMYFUNCTION("""COMPUTED_VALUE"""),"06570019")</f>
        <v>06570019</v>
      </c>
      <c r="C151" s="48" t="str">
        <f ca="1">IFERROR(__xludf.DUMMYFUNCTION("""COMPUTED_VALUE"""),"SAINT AVOLD C.T.T.")</f>
        <v>SAINT AVOLD C.T.T.</v>
      </c>
      <c r="D151" s="46">
        <f ca="1">IFERROR(__xludf.DUMMYFUNCTION("""COMPUTED_VALUE"""),2)</f>
        <v>2</v>
      </c>
      <c r="E151" s="46">
        <f ca="1">IFERROR(__xludf.DUMMYFUNCTION("""COMPUTED_VALUE"""),0)</f>
        <v>0</v>
      </c>
      <c r="F151" s="46">
        <f ca="1">IFERROR(__xludf.DUMMYFUNCTION("""COMPUTED_VALUE"""),7)</f>
        <v>7</v>
      </c>
      <c r="G151" s="46">
        <f ca="1">IFERROR(__xludf.DUMMYFUNCTION("""COMPUTED_VALUE"""),0)</f>
        <v>0</v>
      </c>
      <c r="H151" s="46">
        <f ca="1">IFERROR(__xludf.DUMMYFUNCTION("""COMPUTED_VALUE"""),0)</f>
        <v>0</v>
      </c>
      <c r="I151" s="46">
        <f ca="1">IFERROR(__xludf.DUMMYFUNCTION("""COMPUTED_VALUE"""),5)</f>
        <v>5</v>
      </c>
      <c r="J151" s="46">
        <f ca="1">IFERROR(__xludf.DUMMYFUNCTION("""COMPUTED_VALUE"""),2)</f>
        <v>2</v>
      </c>
      <c r="K151" s="46">
        <f ca="1">IFERROR(__xludf.DUMMYFUNCTION("""COMPUTED_VALUE"""),0)</f>
        <v>0</v>
      </c>
      <c r="L151" s="46">
        <f ca="1">IFERROR(__xludf.DUMMYFUNCTION("""COMPUTED_VALUE"""),0)</f>
        <v>0</v>
      </c>
      <c r="M151" s="46">
        <f ca="1">IFERROR(__xludf.DUMMYFUNCTION("""COMPUTED_VALUE"""),0)</f>
        <v>0</v>
      </c>
      <c r="N151" s="46">
        <f ca="1">IFERROR(__xludf.DUMMYFUNCTION("""COMPUTED_VALUE"""),0)</f>
        <v>0</v>
      </c>
      <c r="O151" s="50">
        <f t="shared" ca="1" si="1"/>
        <v>16</v>
      </c>
    </row>
    <row r="152" spans="1:15" ht="12.75">
      <c r="A152" s="50" t="str">
        <f ca="1">IFERROR(__xludf.DUMMYFUNCTION("""COMPUTED_VALUE"""),"CD57")</f>
        <v>CD57</v>
      </c>
      <c r="B152" s="77" t="str">
        <f ca="1">IFERROR(__xludf.DUMMYFUNCTION("""COMPUTED_VALUE"""),"06570022")</f>
        <v>06570022</v>
      </c>
      <c r="C152" s="48" t="str">
        <f ca="1">IFERROR(__xludf.DUMMYFUNCTION("""COMPUTED_VALUE"""),"AS.Sarreguemines Tennis de Table")</f>
        <v>AS.Sarreguemines Tennis de Table</v>
      </c>
      <c r="D152" s="46">
        <f ca="1">IFERROR(__xludf.DUMMYFUNCTION("""COMPUTED_VALUE"""),0)</f>
        <v>0</v>
      </c>
      <c r="E152" s="46">
        <f ca="1">IFERROR(__xludf.DUMMYFUNCTION("""COMPUTED_VALUE"""),0)</f>
        <v>0</v>
      </c>
      <c r="F152" s="46">
        <f ca="1">IFERROR(__xludf.DUMMYFUNCTION("""COMPUTED_VALUE"""),3)</f>
        <v>3</v>
      </c>
      <c r="G152" s="46">
        <f ca="1">IFERROR(__xludf.DUMMYFUNCTION("""COMPUTED_VALUE"""),0)</f>
        <v>0</v>
      </c>
      <c r="H152" s="46">
        <f ca="1">IFERROR(__xludf.DUMMYFUNCTION("""COMPUTED_VALUE"""),0)</f>
        <v>0</v>
      </c>
      <c r="I152" s="46">
        <f ca="1">IFERROR(__xludf.DUMMYFUNCTION("""COMPUTED_VALUE"""),1)</f>
        <v>1</v>
      </c>
      <c r="J152" s="46">
        <f ca="1">IFERROR(__xludf.DUMMYFUNCTION("""COMPUTED_VALUE"""),1)</f>
        <v>1</v>
      </c>
      <c r="K152" s="46">
        <f ca="1">IFERROR(__xludf.DUMMYFUNCTION("""COMPUTED_VALUE"""),0)</f>
        <v>0</v>
      </c>
      <c r="L152" s="46">
        <f ca="1">IFERROR(__xludf.DUMMYFUNCTION("""COMPUTED_VALUE"""),0)</f>
        <v>0</v>
      </c>
      <c r="M152" s="46">
        <f ca="1">IFERROR(__xludf.DUMMYFUNCTION("""COMPUTED_VALUE"""),0)</f>
        <v>0</v>
      </c>
      <c r="N152" s="46">
        <f ca="1">IFERROR(__xludf.DUMMYFUNCTION("""COMPUTED_VALUE"""),0)</f>
        <v>0</v>
      </c>
      <c r="O152" s="50">
        <f t="shared" ca="1" si="1"/>
        <v>5</v>
      </c>
    </row>
    <row r="153" spans="1:15" ht="12.75">
      <c r="A153" s="50" t="str">
        <f ca="1">IFERROR(__xludf.DUMMYFUNCTION("""COMPUTED_VALUE"""),"CD57")</f>
        <v>CD57</v>
      </c>
      <c r="B153" s="77" t="str">
        <f ca="1">IFERROR(__xludf.DUMMYFUNCTION("""COMPUTED_VALUE"""),"06570024")</f>
        <v>06570024</v>
      </c>
      <c r="C153" s="48" t="str">
        <f ca="1">IFERROR(__xludf.DUMMYFUNCTION("""COMPUTED_VALUE"""),"THIONVILLE Tennis de Table")</f>
        <v>THIONVILLE Tennis de Table</v>
      </c>
      <c r="D153" s="46">
        <f ca="1">IFERROR(__xludf.DUMMYFUNCTION("""COMPUTED_VALUE"""),15)</f>
        <v>15</v>
      </c>
      <c r="E153" s="46">
        <f ca="1">IFERROR(__xludf.DUMMYFUNCTION("""COMPUTED_VALUE"""),0)</f>
        <v>0</v>
      </c>
      <c r="F153" s="46">
        <f ca="1">IFERROR(__xludf.DUMMYFUNCTION("""COMPUTED_VALUE"""),4)</f>
        <v>4</v>
      </c>
      <c r="G153" s="46">
        <f ca="1">IFERROR(__xludf.DUMMYFUNCTION("""COMPUTED_VALUE"""),0)</f>
        <v>0</v>
      </c>
      <c r="H153" s="46">
        <f ca="1">IFERROR(__xludf.DUMMYFUNCTION("""COMPUTED_VALUE"""),1)</f>
        <v>1</v>
      </c>
      <c r="I153" s="46">
        <f ca="1">IFERROR(__xludf.DUMMYFUNCTION("""COMPUTED_VALUE"""),2)</f>
        <v>2</v>
      </c>
      <c r="J153" s="46">
        <f ca="1">IFERROR(__xludf.DUMMYFUNCTION("""COMPUTED_VALUE"""),0)</f>
        <v>0</v>
      </c>
      <c r="K153" s="46">
        <f ca="1">IFERROR(__xludf.DUMMYFUNCTION("""COMPUTED_VALUE"""),1)</f>
        <v>1</v>
      </c>
      <c r="L153" s="46">
        <f ca="1">IFERROR(__xludf.DUMMYFUNCTION("""COMPUTED_VALUE"""),1)</f>
        <v>1</v>
      </c>
      <c r="M153" s="46">
        <f ca="1">IFERROR(__xludf.DUMMYFUNCTION("""COMPUTED_VALUE"""),0)</f>
        <v>0</v>
      </c>
      <c r="N153" s="46">
        <f ca="1">IFERROR(__xludf.DUMMYFUNCTION("""COMPUTED_VALUE"""),1)</f>
        <v>1</v>
      </c>
      <c r="O153" s="50">
        <f t="shared" ca="1" si="1"/>
        <v>25</v>
      </c>
    </row>
    <row r="154" spans="1:15" ht="12.75">
      <c r="A154" s="50" t="str">
        <f ca="1">IFERROR(__xludf.DUMMYFUNCTION("""COMPUTED_VALUE"""),"CD57")</f>
        <v>CD57</v>
      </c>
      <c r="B154" s="77" t="str">
        <f ca="1">IFERROR(__xludf.DUMMYFUNCTION("""COMPUTED_VALUE"""),"06570027")</f>
        <v>06570027</v>
      </c>
      <c r="C154" s="48" t="str">
        <f ca="1">IFERROR(__xludf.DUMMYFUNCTION("""COMPUTED_VALUE"""),"FORBACH U.S.T.T.")</f>
        <v>FORBACH U.S.T.T.</v>
      </c>
      <c r="D154" s="46">
        <f ca="1">IFERROR(__xludf.DUMMYFUNCTION("""COMPUTED_VALUE"""),0)</f>
        <v>0</v>
      </c>
      <c r="E154" s="46">
        <f ca="1">IFERROR(__xludf.DUMMYFUNCTION("""COMPUTED_VALUE"""),0)</f>
        <v>0</v>
      </c>
      <c r="F154" s="46">
        <f ca="1">IFERROR(__xludf.DUMMYFUNCTION("""COMPUTED_VALUE"""),2)</f>
        <v>2</v>
      </c>
      <c r="G154" s="46">
        <f ca="1">IFERROR(__xludf.DUMMYFUNCTION("""COMPUTED_VALUE"""),0)</f>
        <v>0</v>
      </c>
      <c r="H154" s="46">
        <f ca="1">IFERROR(__xludf.DUMMYFUNCTION("""COMPUTED_VALUE"""),0)</f>
        <v>0</v>
      </c>
      <c r="I154" s="46">
        <f ca="1">IFERROR(__xludf.DUMMYFUNCTION("""COMPUTED_VALUE"""),1)</f>
        <v>1</v>
      </c>
      <c r="J154" s="46">
        <f ca="1">IFERROR(__xludf.DUMMYFUNCTION("""COMPUTED_VALUE"""),1)</f>
        <v>1</v>
      </c>
      <c r="K154" s="46">
        <f ca="1">IFERROR(__xludf.DUMMYFUNCTION("""COMPUTED_VALUE"""),0)</f>
        <v>0</v>
      </c>
      <c r="L154" s="46">
        <f ca="1">IFERROR(__xludf.DUMMYFUNCTION("""COMPUTED_VALUE"""),0)</f>
        <v>0</v>
      </c>
      <c r="M154" s="46">
        <f ca="1">IFERROR(__xludf.DUMMYFUNCTION("""COMPUTED_VALUE"""),0)</f>
        <v>0</v>
      </c>
      <c r="N154" s="46">
        <f ca="1">IFERROR(__xludf.DUMMYFUNCTION("""COMPUTED_VALUE"""),0)</f>
        <v>0</v>
      </c>
      <c r="O154" s="50">
        <f t="shared" ca="1" si="1"/>
        <v>4</v>
      </c>
    </row>
    <row r="155" spans="1:15" ht="12.75">
      <c r="A155" s="50" t="str">
        <f ca="1">IFERROR(__xludf.DUMMYFUNCTION("""COMPUTED_VALUE"""),"CD57")</f>
        <v>CD57</v>
      </c>
      <c r="B155" s="77" t="str">
        <f ca="1">IFERROR(__xludf.DUMMYFUNCTION("""COMPUTED_VALUE"""),"06570029")</f>
        <v>06570029</v>
      </c>
      <c r="C155" s="48" t="str">
        <f ca="1">IFERROR(__xludf.DUMMYFUNCTION("""COMPUTED_VALUE"""),"WILLERWALD A.S.")</f>
        <v>WILLERWALD A.S.</v>
      </c>
      <c r="D155" s="46">
        <f ca="1">IFERROR(__xludf.DUMMYFUNCTION("""COMPUTED_VALUE"""),0)</f>
        <v>0</v>
      </c>
      <c r="E155" s="46">
        <f ca="1">IFERROR(__xludf.DUMMYFUNCTION("""COMPUTED_VALUE"""),0)</f>
        <v>0</v>
      </c>
      <c r="F155" s="46">
        <f ca="1">IFERROR(__xludf.DUMMYFUNCTION("""COMPUTED_VALUE"""),3)</f>
        <v>3</v>
      </c>
      <c r="G155" s="46">
        <f ca="1">IFERROR(__xludf.DUMMYFUNCTION("""COMPUTED_VALUE"""),1)</f>
        <v>1</v>
      </c>
      <c r="H155" s="46">
        <f ca="1">IFERROR(__xludf.DUMMYFUNCTION("""COMPUTED_VALUE"""),0)</f>
        <v>0</v>
      </c>
      <c r="I155" s="46">
        <f ca="1">IFERROR(__xludf.DUMMYFUNCTION("""COMPUTED_VALUE"""),1)</f>
        <v>1</v>
      </c>
      <c r="J155" s="46">
        <f ca="1">IFERROR(__xludf.DUMMYFUNCTION("""COMPUTED_VALUE"""),2)</f>
        <v>2</v>
      </c>
      <c r="K155" s="46">
        <f ca="1">IFERROR(__xludf.DUMMYFUNCTION("""COMPUTED_VALUE"""),1)</f>
        <v>1</v>
      </c>
      <c r="L155" s="46">
        <f ca="1">IFERROR(__xludf.DUMMYFUNCTION("""COMPUTED_VALUE"""),0)</f>
        <v>0</v>
      </c>
      <c r="M155" s="46">
        <f ca="1">IFERROR(__xludf.DUMMYFUNCTION("""COMPUTED_VALUE"""),0)</f>
        <v>0</v>
      </c>
      <c r="N155" s="46">
        <f ca="1">IFERROR(__xludf.DUMMYFUNCTION("""COMPUTED_VALUE"""),0)</f>
        <v>0</v>
      </c>
      <c r="O155" s="50">
        <f t="shared" ca="1" si="1"/>
        <v>8</v>
      </c>
    </row>
    <row r="156" spans="1:15" ht="12.75">
      <c r="A156" s="50" t="str">
        <f ca="1">IFERROR(__xludf.DUMMYFUNCTION("""COMPUTED_VALUE"""),"CD57")</f>
        <v>CD57</v>
      </c>
      <c r="B156" s="77" t="str">
        <f ca="1">IFERROR(__xludf.DUMMYFUNCTION("""COMPUTED_VALUE"""),"06570030")</f>
        <v>06570030</v>
      </c>
      <c r="C156" s="48" t="str">
        <f ca="1">IFERROR(__xludf.DUMMYFUNCTION("""COMPUTED_VALUE"""),"SPICHEREN C.S.N.")</f>
        <v>SPICHEREN C.S.N.</v>
      </c>
      <c r="D156" s="46">
        <f ca="1">IFERROR(__xludf.DUMMYFUNCTION("""COMPUTED_VALUE"""),0)</f>
        <v>0</v>
      </c>
      <c r="E156" s="46">
        <f ca="1">IFERROR(__xludf.DUMMYFUNCTION("""COMPUTED_VALUE"""),0)</f>
        <v>0</v>
      </c>
      <c r="F156" s="46">
        <f ca="1">IFERROR(__xludf.DUMMYFUNCTION("""COMPUTED_VALUE"""),2)</f>
        <v>2</v>
      </c>
      <c r="G156" s="46">
        <f ca="1">IFERROR(__xludf.DUMMYFUNCTION("""COMPUTED_VALUE"""),0)</f>
        <v>0</v>
      </c>
      <c r="H156" s="46">
        <f ca="1">IFERROR(__xludf.DUMMYFUNCTION("""COMPUTED_VALUE"""),0)</f>
        <v>0</v>
      </c>
      <c r="I156" s="46">
        <f ca="1">IFERROR(__xludf.DUMMYFUNCTION("""COMPUTED_VALUE"""),2)</f>
        <v>2</v>
      </c>
      <c r="J156" s="46">
        <f ca="1">IFERROR(__xludf.DUMMYFUNCTION("""COMPUTED_VALUE"""),0)</f>
        <v>0</v>
      </c>
      <c r="K156" s="46">
        <f ca="1">IFERROR(__xludf.DUMMYFUNCTION("""COMPUTED_VALUE"""),0)</f>
        <v>0</v>
      </c>
      <c r="L156" s="46">
        <f ca="1">IFERROR(__xludf.DUMMYFUNCTION("""COMPUTED_VALUE"""),0)</f>
        <v>0</v>
      </c>
      <c r="M156" s="46">
        <f ca="1">IFERROR(__xludf.DUMMYFUNCTION("""COMPUTED_VALUE"""),0)</f>
        <v>0</v>
      </c>
      <c r="N156" s="46">
        <f ca="1">IFERROR(__xludf.DUMMYFUNCTION("""COMPUTED_VALUE"""),0)</f>
        <v>0</v>
      </c>
      <c r="O156" s="50">
        <f t="shared" ca="1" si="1"/>
        <v>4</v>
      </c>
    </row>
    <row r="157" spans="1:15" ht="12.75">
      <c r="A157" s="50" t="str">
        <f ca="1">IFERROR(__xludf.DUMMYFUNCTION("""COMPUTED_VALUE"""),"CD57")</f>
        <v>CD57</v>
      </c>
      <c r="B157" s="77" t="str">
        <f ca="1">IFERROR(__xludf.DUMMYFUNCTION("""COMPUTED_VALUE"""),"06570037")</f>
        <v>06570037</v>
      </c>
      <c r="C157" s="48" t="str">
        <f ca="1">IFERROR(__xludf.DUMMYFUNCTION("""COMPUTED_VALUE"""),"VOLMUNSTER F.J.")</f>
        <v>VOLMUNSTER F.J.</v>
      </c>
      <c r="D157" s="46">
        <f ca="1">IFERROR(__xludf.DUMMYFUNCTION("""COMPUTED_VALUE"""),0)</f>
        <v>0</v>
      </c>
      <c r="E157" s="46">
        <f ca="1">IFERROR(__xludf.DUMMYFUNCTION("""COMPUTED_VALUE"""),0)</f>
        <v>0</v>
      </c>
      <c r="F157" s="46">
        <f ca="1">IFERROR(__xludf.DUMMYFUNCTION("""COMPUTED_VALUE"""),0)</f>
        <v>0</v>
      </c>
      <c r="G157" s="46">
        <f ca="1">IFERROR(__xludf.DUMMYFUNCTION("""COMPUTED_VALUE"""),0)</f>
        <v>0</v>
      </c>
      <c r="H157" s="46">
        <f ca="1">IFERROR(__xludf.DUMMYFUNCTION("""COMPUTED_VALUE"""),0)</f>
        <v>0</v>
      </c>
      <c r="I157" s="46">
        <f ca="1">IFERROR(__xludf.DUMMYFUNCTION("""COMPUTED_VALUE"""),0)</f>
        <v>0</v>
      </c>
      <c r="J157" s="46">
        <f ca="1">IFERROR(__xludf.DUMMYFUNCTION("""COMPUTED_VALUE"""),0)</f>
        <v>0</v>
      </c>
      <c r="K157" s="46">
        <f ca="1">IFERROR(__xludf.DUMMYFUNCTION("""COMPUTED_VALUE"""),0)</f>
        <v>0</v>
      </c>
      <c r="L157" s="46">
        <f ca="1">IFERROR(__xludf.DUMMYFUNCTION("""COMPUTED_VALUE"""),0)</f>
        <v>0</v>
      </c>
      <c r="M157" s="46">
        <f ca="1">IFERROR(__xludf.DUMMYFUNCTION("""COMPUTED_VALUE"""),0)</f>
        <v>0</v>
      </c>
      <c r="N157" s="46">
        <f ca="1">IFERROR(__xludf.DUMMYFUNCTION("""COMPUTED_VALUE"""),0)</f>
        <v>0</v>
      </c>
      <c r="O157" s="50">
        <f t="shared" ca="1" si="1"/>
        <v>0</v>
      </c>
    </row>
    <row r="158" spans="1:15" ht="12.75">
      <c r="A158" s="50" t="str">
        <f ca="1">IFERROR(__xludf.DUMMYFUNCTION("""COMPUTED_VALUE"""),"CD57")</f>
        <v>CD57</v>
      </c>
      <c r="B158" s="77" t="str">
        <f ca="1">IFERROR(__xludf.DUMMYFUNCTION("""COMPUTED_VALUE"""),"06570057")</f>
        <v>06570057</v>
      </c>
      <c r="C158" s="48" t="str">
        <f ca="1">IFERROR(__xludf.DUMMYFUNCTION("""COMPUTED_VALUE"""),"FREYMING-ST MAURICE LTDP")</f>
        <v>FREYMING-ST MAURICE LTDP</v>
      </c>
      <c r="D158" s="46">
        <f ca="1">IFERROR(__xludf.DUMMYFUNCTION("""COMPUTED_VALUE"""),0)</f>
        <v>0</v>
      </c>
      <c r="E158" s="46">
        <f ca="1">IFERROR(__xludf.DUMMYFUNCTION("""COMPUTED_VALUE"""),0)</f>
        <v>0</v>
      </c>
      <c r="F158" s="46">
        <f ca="1">IFERROR(__xludf.DUMMYFUNCTION("""COMPUTED_VALUE"""),2)</f>
        <v>2</v>
      </c>
      <c r="G158" s="46">
        <f ca="1">IFERROR(__xludf.DUMMYFUNCTION("""COMPUTED_VALUE"""),0)</f>
        <v>0</v>
      </c>
      <c r="H158" s="46">
        <f ca="1">IFERROR(__xludf.DUMMYFUNCTION("""COMPUTED_VALUE"""),0)</f>
        <v>0</v>
      </c>
      <c r="I158" s="46">
        <f ca="1">IFERROR(__xludf.DUMMYFUNCTION("""COMPUTED_VALUE"""),2)</f>
        <v>2</v>
      </c>
      <c r="J158" s="46">
        <f ca="1">IFERROR(__xludf.DUMMYFUNCTION("""COMPUTED_VALUE"""),0)</f>
        <v>0</v>
      </c>
      <c r="K158" s="46">
        <f ca="1">IFERROR(__xludf.DUMMYFUNCTION("""COMPUTED_VALUE"""),0)</f>
        <v>0</v>
      </c>
      <c r="L158" s="46">
        <f ca="1">IFERROR(__xludf.DUMMYFUNCTION("""COMPUTED_VALUE"""),0)</f>
        <v>0</v>
      </c>
      <c r="M158" s="46">
        <f ca="1">IFERROR(__xludf.DUMMYFUNCTION("""COMPUTED_VALUE"""),0)</f>
        <v>0</v>
      </c>
      <c r="N158" s="46">
        <f ca="1">IFERROR(__xludf.DUMMYFUNCTION("""COMPUTED_VALUE"""),0)</f>
        <v>0</v>
      </c>
      <c r="O158" s="50">
        <f t="shared" ca="1" si="1"/>
        <v>4</v>
      </c>
    </row>
    <row r="159" spans="1:15" ht="12.75">
      <c r="A159" s="50" t="str">
        <f ca="1">IFERROR(__xludf.DUMMYFUNCTION("""COMPUTED_VALUE"""),"CD57")</f>
        <v>CD57</v>
      </c>
      <c r="B159" s="77" t="str">
        <f ca="1">IFERROR(__xludf.DUMMYFUNCTION("""COMPUTED_VALUE"""),"06570060")</f>
        <v>06570060</v>
      </c>
      <c r="C159" s="48" t="str">
        <f ca="1">IFERROR(__xludf.DUMMYFUNCTION("""COMPUTED_VALUE"""),"MORSBACH Sarre et Moselle ASTT")</f>
        <v>MORSBACH Sarre et Moselle ASTT</v>
      </c>
      <c r="D159" s="46">
        <f ca="1">IFERROR(__xludf.DUMMYFUNCTION("""COMPUTED_VALUE"""),0)</f>
        <v>0</v>
      </c>
      <c r="E159" s="46">
        <f ca="1">IFERROR(__xludf.DUMMYFUNCTION("""COMPUTED_VALUE"""),0)</f>
        <v>0</v>
      </c>
      <c r="F159" s="46">
        <f ca="1">IFERROR(__xludf.DUMMYFUNCTION("""COMPUTED_VALUE"""),2)</f>
        <v>2</v>
      </c>
      <c r="G159" s="46">
        <f ca="1">IFERROR(__xludf.DUMMYFUNCTION("""COMPUTED_VALUE"""),0)</f>
        <v>0</v>
      </c>
      <c r="H159" s="46">
        <f ca="1">IFERROR(__xludf.DUMMYFUNCTION("""COMPUTED_VALUE"""),0)</f>
        <v>0</v>
      </c>
      <c r="I159" s="46">
        <f ca="1">IFERROR(__xludf.DUMMYFUNCTION("""COMPUTED_VALUE"""),2)</f>
        <v>2</v>
      </c>
      <c r="J159" s="46">
        <f ca="1">IFERROR(__xludf.DUMMYFUNCTION("""COMPUTED_VALUE"""),0)</f>
        <v>0</v>
      </c>
      <c r="K159" s="46">
        <f ca="1">IFERROR(__xludf.DUMMYFUNCTION("""COMPUTED_VALUE"""),0)</f>
        <v>0</v>
      </c>
      <c r="L159" s="46">
        <f ca="1">IFERROR(__xludf.DUMMYFUNCTION("""COMPUTED_VALUE"""),0)</f>
        <v>0</v>
      </c>
      <c r="M159" s="46">
        <f ca="1">IFERROR(__xludf.DUMMYFUNCTION("""COMPUTED_VALUE"""),0)</f>
        <v>0</v>
      </c>
      <c r="N159" s="46">
        <f ca="1">IFERROR(__xludf.DUMMYFUNCTION("""COMPUTED_VALUE"""),0)</f>
        <v>0</v>
      </c>
      <c r="O159" s="50">
        <f t="shared" ca="1" si="1"/>
        <v>4</v>
      </c>
    </row>
    <row r="160" spans="1:15" ht="12.75">
      <c r="A160" s="50" t="str">
        <f ca="1">IFERROR(__xludf.DUMMYFUNCTION("""COMPUTED_VALUE"""),"CD57")</f>
        <v>CD57</v>
      </c>
      <c r="B160" s="77" t="str">
        <f ca="1">IFERROR(__xludf.DUMMYFUNCTION("""COMPUTED_VALUE"""),"06570070")</f>
        <v>06570070</v>
      </c>
      <c r="C160" s="48" t="str">
        <f ca="1">IFERROR(__xludf.DUMMYFUNCTION("""COMPUTED_VALUE"""),"AMNEVILLE Tennis de Table")</f>
        <v>AMNEVILLE Tennis de Table</v>
      </c>
      <c r="D160" s="46">
        <f ca="1">IFERROR(__xludf.DUMMYFUNCTION("""COMPUTED_VALUE"""),2)</f>
        <v>2</v>
      </c>
      <c r="E160" s="46">
        <f ca="1">IFERROR(__xludf.DUMMYFUNCTION("""COMPUTED_VALUE"""),0)</f>
        <v>0</v>
      </c>
      <c r="F160" s="46">
        <f ca="1">IFERROR(__xludf.DUMMYFUNCTION("""COMPUTED_VALUE"""),4)</f>
        <v>4</v>
      </c>
      <c r="G160" s="46">
        <f ca="1">IFERROR(__xludf.DUMMYFUNCTION("""COMPUTED_VALUE"""),0)</f>
        <v>0</v>
      </c>
      <c r="H160" s="46">
        <f ca="1">IFERROR(__xludf.DUMMYFUNCTION("""COMPUTED_VALUE"""),0)</f>
        <v>0</v>
      </c>
      <c r="I160" s="46">
        <f ca="1">IFERROR(__xludf.DUMMYFUNCTION("""COMPUTED_VALUE"""),3)</f>
        <v>3</v>
      </c>
      <c r="J160" s="46">
        <f ca="1">IFERROR(__xludf.DUMMYFUNCTION("""COMPUTED_VALUE"""),0)</f>
        <v>0</v>
      </c>
      <c r="K160" s="46">
        <f ca="1">IFERROR(__xludf.DUMMYFUNCTION("""COMPUTED_VALUE"""),0)</f>
        <v>0</v>
      </c>
      <c r="L160" s="46">
        <f ca="1">IFERROR(__xludf.DUMMYFUNCTION("""COMPUTED_VALUE"""),0)</f>
        <v>0</v>
      </c>
      <c r="M160" s="46">
        <f ca="1">IFERROR(__xludf.DUMMYFUNCTION("""COMPUTED_VALUE"""),0)</f>
        <v>0</v>
      </c>
      <c r="N160" s="46">
        <f ca="1">IFERROR(__xludf.DUMMYFUNCTION("""COMPUTED_VALUE"""),0)</f>
        <v>0</v>
      </c>
      <c r="O160" s="50">
        <f t="shared" ca="1" si="1"/>
        <v>9</v>
      </c>
    </row>
    <row r="161" spans="1:15" ht="12.75">
      <c r="A161" s="50" t="str">
        <f ca="1">IFERROR(__xludf.DUMMYFUNCTION("""COMPUTED_VALUE"""),"CD57")</f>
        <v>CD57</v>
      </c>
      <c r="B161" s="77" t="str">
        <f ca="1">IFERROR(__xludf.DUMMYFUNCTION("""COMPUTED_VALUE"""),"06570073")</f>
        <v>06570073</v>
      </c>
      <c r="C161" s="48" t="str">
        <f ca="1">IFERROR(__xludf.DUMMYFUNCTION("""COMPUTED_VALUE"""),"TERVILLE Tennis de Table")</f>
        <v>TERVILLE Tennis de Table</v>
      </c>
      <c r="D161" s="46">
        <f ca="1">IFERROR(__xludf.DUMMYFUNCTION("""COMPUTED_VALUE"""),17)</f>
        <v>17</v>
      </c>
      <c r="E161" s="46">
        <f ca="1">IFERROR(__xludf.DUMMYFUNCTION("""COMPUTED_VALUE"""),0)</f>
        <v>0</v>
      </c>
      <c r="F161" s="46">
        <f ca="1">IFERROR(__xludf.DUMMYFUNCTION("""COMPUTED_VALUE"""),10)</f>
        <v>10</v>
      </c>
      <c r="G161" s="46">
        <f ca="1">IFERROR(__xludf.DUMMYFUNCTION("""COMPUTED_VALUE"""),0)</f>
        <v>0</v>
      </c>
      <c r="H161" s="46">
        <f ca="1">IFERROR(__xludf.DUMMYFUNCTION("""COMPUTED_VALUE"""),0)</f>
        <v>0</v>
      </c>
      <c r="I161" s="46">
        <f ca="1">IFERROR(__xludf.DUMMYFUNCTION("""COMPUTED_VALUE"""),7)</f>
        <v>7</v>
      </c>
      <c r="J161" s="46">
        <f ca="1">IFERROR(__xludf.DUMMYFUNCTION("""COMPUTED_VALUE"""),0)</f>
        <v>0</v>
      </c>
      <c r="K161" s="46">
        <f ca="1">IFERROR(__xludf.DUMMYFUNCTION("""COMPUTED_VALUE"""),1)</f>
        <v>1</v>
      </c>
      <c r="L161" s="46">
        <f ca="1">IFERROR(__xludf.DUMMYFUNCTION("""COMPUTED_VALUE"""),0)</f>
        <v>0</v>
      </c>
      <c r="M161" s="46">
        <f ca="1">IFERROR(__xludf.DUMMYFUNCTION("""COMPUTED_VALUE"""),0)</f>
        <v>0</v>
      </c>
      <c r="N161" s="46">
        <f ca="1">IFERROR(__xludf.DUMMYFUNCTION("""COMPUTED_VALUE"""),0)</f>
        <v>0</v>
      </c>
      <c r="O161" s="50">
        <f t="shared" ca="1" si="1"/>
        <v>35</v>
      </c>
    </row>
    <row r="162" spans="1:15" ht="12.75">
      <c r="A162" s="50" t="str">
        <f ca="1">IFERROR(__xludf.DUMMYFUNCTION("""COMPUTED_VALUE"""),"CD57")</f>
        <v>CD57</v>
      </c>
      <c r="B162" s="77" t="str">
        <f ca="1">IFERROR(__xludf.DUMMYFUNCTION("""COMPUTED_VALUE"""),"06570075")</f>
        <v>06570075</v>
      </c>
      <c r="C162" s="48" t="str">
        <f ca="1">IFERROR(__xludf.DUMMYFUNCTION("""COMPUTED_VALUE"""),"ILLANGE USTT")</f>
        <v>ILLANGE USTT</v>
      </c>
      <c r="D162" s="46">
        <f ca="1">IFERROR(__xludf.DUMMYFUNCTION("""COMPUTED_VALUE"""),1)</f>
        <v>1</v>
      </c>
      <c r="E162" s="46">
        <f ca="1">IFERROR(__xludf.DUMMYFUNCTION("""COMPUTED_VALUE"""),0)</f>
        <v>0</v>
      </c>
      <c r="F162" s="46">
        <f ca="1">IFERROR(__xludf.DUMMYFUNCTION("""COMPUTED_VALUE"""),2)</f>
        <v>2</v>
      </c>
      <c r="G162" s="46">
        <f ca="1">IFERROR(__xludf.DUMMYFUNCTION("""COMPUTED_VALUE"""),0)</f>
        <v>0</v>
      </c>
      <c r="H162" s="46">
        <f ca="1">IFERROR(__xludf.DUMMYFUNCTION("""COMPUTED_VALUE"""),0)</f>
        <v>0</v>
      </c>
      <c r="I162" s="46">
        <f ca="1">IFERROR(__xludf.DUMMYFUNCTION("""COMPUTED_VALUE"""),2)</f>
        <v>2</v>
      </c>
      <c r="J162" s="46">
        <f ca="1">IFERROR(__xludf.DUMMYFUNCTION("""COMPUTED_VALUE"""),0)</f>
        <v>0</v>
      </c>
      <c r="K162" s="46">
        <f ca="1">IFERROR(__xludf.DUMMYFUNCTION("""COMPUTED_VALUE"""),0)</f>
        <v>0</v>
      </c>
      <c r="L162" s="46">
        <f ca="1">IFERROR(__xludf.DUMMYFUNCTION("""COMPUTED_VALUE"""),0)</f>
        <v>0</v>
      </c>
      <c r="M162" s="46">
        <f ca="1">IFERROR(__xludf.DUMMYFUNCTION("""COMPUTED_VALUE"""),0)</f>
        <v>0</v>
      </c>
      <c r="N162" s="46">
        <f ca="1">IFERROR(__xludf.DUMMYFUNCTION("""COMPUTED_VALUE"""),0)</f>
        <v>0</v>
      </c>
      <c r="O162" s="50">
        <f t="shared" ca="1" si="1"/>
        <v>5</v>
      </c>
    </row>
    <row r="163" spans="1:15" ht="12.75">
      <c r="A163" s="50" t="str">
        <f ca="1">IFERROR(__xludf.DUMMYFUNCTION("""COMPUTED_VALUE"""),"CD57")</f>
        <v>CD57</v>
      </c>
      <c r="B163" s="77" t="str">
        <f ca="1">IFERROR(__xludf.DUMMYFUNCTION("""COMPUTED_VALUE"""),"06570078")</f>
        <v>06570078</v>
      </c>
      <c r="C163" s="48" t="str">
        <f ca="1">IFERROR(__xludf.DUMMYFUNCTION("""COMPUTED_VALUE"""),"CLOUANGE T.T.")</f>
        <v>CLOUANGE T.T.</v>
      </c>
      <c r="D163" s="46">
        <f ca="1">IFERROR(__xludf.DUMMYFUNCTION("""COMPUTED_VALUE"""),0)</f>
        <v>0</v>
      </c>
      <c r="E163" s="46">
        <f ca="1">IFERROR(__xludf.DUMMYFUNCTION("""COMPUTED_VALUE"""),0)</f>
        <v>0</v>
      </c>
      <c r="F163" s="46">
        <f ca="1">IFERROR(__xludf.DUMMYFUNCTION("""COMPUTED_VALUE"""),1)</f>
        <v>1</v>
      </c>
      <c r="G163" s="46">
        <f ca="1">IFERROR(__xludf.DUMMYFUNCTION("""COMPUTED_VALUE"""),0)</f>
        <v>0</v>
      </c>
      <c r="H163" s="46">
        <f ca="1">IFERROR(__xludf.DUMMYFUNCTION("""COMPUTED_VALUE"""),0)</f>
        <v>0</v>
      </c>
      <c r="I163" s="46">
        <f ca="1">IFERROR(__xludf.DUMMYFUNCTION("""COMPUTED_VALUE"""),1)</f>
        <v>1</v>
      </c>
      <c r="J163" s="46">
        <f ca="1">IFERROR(__xludf.DUMMYFUNCTION("""COMPUTED_VALUE"""),0)</f>
        <v>0</v>
      </c>
      <c r="K163" s="46">
        <f ca="1">IFERROR(__xludf.DUMMYFUNCTION("""COMPUTED_VALUE"""),0)</f>
        <v>0</v>
      </c>
      <c r="L163" s="46">
        <f ca="1">IFERROR(__xludf.DUMMYFUNCTION("""COMPUTED_VALUE"""),0)</f>
        <v>0</v>
      </c>
      <c r="M163" s="46">
        <f ca="1">IFERROR(__xludf.DUMMYFUNCTION("""COMPUTED_VALUE"""),0)</f>
        <v>0</v>
      </c>
      <c r="N163" s="46">
        <f ca="1">IFERROR(__xludf.DUMMYFUNCTION("""COMPUTED_VALUE"""),0)</f>
        <v>0</v>
      </c>
      <c r="O163" s="50">
        <f t="shared" ca="1" si="1"/>
        <v>2</v>
      </c>
    </row>
    <row r="164" spans="1:15" ht="12.75">
      <c r="A164" s="50" t="str">
        <f ca="1">IFERROR(__xludf.DUMMYFUNCTION("""COMPUTED_VALUE"""),"CD57")</f>
        <v>CD57</v>
      </c>
      <c r="B164" s="77" t="str">
        <f ca="1">IFERROR(__xludf.DUMMYFUNCTION("""COMPUTED_VALUE"""),"06570088")</f>
        <v>06570088</v>
      </c>
      <c r="C164" s="48" t="str">
        <f ca="1">IFERROR(__xludf.DUMMYFUNCTION("""COMPUTED_VALUE"""),"CREUTZWALD E.P.")</f>
        <v>CREUTZWALD E.P.</v>
      </c>
      <c r="D164" s="46">
        <f ca="1">IFERROR(__xludf.DUMMYFUNCTION("""COMPUTED_VALUE"""),0)</f>
        <v>0</v>
      </c>
      <c r="E164" s="46">
        <f ca="1">IFERROR(__xludf.DUMMYFUNCTION("""COMPUTED_VALUE"""),0)</f>
        <v>0</v>
      </c>
      <c r="F164" s="46">
        <f ca="1">IFERROR(__xludf.DUMMYFUNCTION("""COMPUTED_VALUE"""),1)</f>
        <v>1</v>
      </c>
      <c r="G164" s="46">
        <f ca="1">IFERROR(__xludf.DUMMYFUNCTION("""COMPUTED_VALUE"""),0)</f>
        <v>0</v>
      </c>
      <c r="H164" s="46">
        <f ca="1">IFERROR(__xludf.DUMMYFUNCTION("""COMPUTED_VALUE"""),0)</f>
        <v>0</v>
      </c>
      <c r="I164" s="46">
        <f ca="1">IFERROR(__xludf.DUMMYFUNCTION("""COMPUTED_VALUE"""),1)</f>
        <v>1</v>
      </c>
      <c r="J164" s="46">
        <f ca="1">IFERROR(__xludf.DUMMYFUNCTION("""COMPUTED_VALUE"""),0)</f>
        <v>0</v>
      </c>
      <c r="K164" s="46">
        <f ca="1">IFERROR(__xludf.DUMMYFUNCTION("""COMPUTED_VALUE"""),0)</f>
        <v>0</v>
      </c>
      <c r="L164" s="46">
        <f ca="1">IFERROR(__xludf.DUMMYFUNCTION("""COMPUTED_VALUE"""),0)</f>
        <v>0</v>
      </c>
      <c r="M164" s="46">
        <f ca="1">IFERROR(__xludf.DUMMYFUNCTION("""COMPUTED_VALUE"""),0)</f>
        <v>0</v>
      </c>
      <c r="N164" s="46">
        <f ca="1">IFERROR(__xludf.DUMMYFUNCTION("""COMPUTED_VALUE"""),0)</f>
        <v>0</v>
      </c>
      <c r="O164" s="50">
        <f t="shared" ca="1" si="1"/>
        <v>2</v>
      </c>
    </row>
    <row r="165" spans="1:15" ht="12.75">
      <c r="A165" s="50" t="str">
        <f ca="1">IFERROR(__xludf.DUMMYFUNCTION("""COMPUTED_VALUE"""),"CD57")</f>
        <v>CD57</v>
      </c>
      <c r="B165" s="77" t="str">
        <f ca="1">IFERROR(__xludf.DUMMYFUNCTION("""COMPUTED_VALUE"""),"06570093")</f>
        <v>06570093</v>
      </c>
      <c r="C165" s="48" t="str">
        <f ca="1">IFERROR(__xludf.DUMMYFUNCTION("""COMPUTED_VALUE"""),"SCHOENECK T.T.")</f>
        <v>SCHOENECK T.T.</v>
      </c>
      <c r="D165" s="46">
        <f ca="1">IFERROR(__xludf.DUMMYFUNCTION("""COMPUTED_VALUE"""),0)</f>
        <v>0</v>
      </c>
      <c r="E165" s="46">
        <f ca="1">IFERROR(__xludf.DUMMYFUNCTION("""COMPUTED_VALUE"""),0)</f>
        <v>0</v>
      </c>
      <c r="F165" s="46">
        <f ca="1">IFERROR(__xludf.DUMMYFUNCTION("""COMPUTED_VALUE"""),2)</f>
        <v>2</v>
      </c>
      <c r="G165" s="46">
        <f ca="1">IFERROR(__xludf.DUMMYFUNCTION("""COMPUTED_VALUE"""),0)</f>
        <v>0</v>
      </c>
      <c r="H165" s="46">
        <f ca="1">IFERROR(__xludf.DUMMYFUNCTION("""COMPUTED_VALUE"""),0)</f>
        <v>0</v>
      </c>
      <c r="I165" s="46">
        <f ca="1">IFERROR(__xludf.DUMMYFUNCTION("""COMPUTED_VALUE"""),1)</f>
        <v>1</v>
      </c>
      <c r="J165" s="46">
        <f ca="1">IFERROR(__xludf.DUMMYFUNCTION("""COMPUTED_VALUE"""),1)</f>
        <v>1</v>
      </c>
      <c r="K165" s="46">
        <f ca="1">IFERROR(__xludf.DUMMYFUNCTION("""COMPUTED_VALUE"""),0)</f>
        <v>0</v>
      </c>
      <c r="L165" s="46">
        <f ca="1">IFERROR(__xludf.DUMMYFUNCTION("""COMPUTED_VALUE"""),0)</f>
        <v>0</v>
      </c>
      <c r="M165" s="46">
        <f ca="1">IFERROR(__xludf.DUMMYFUNCTION("""COMPUTED_VALUE"""),0)</f>
        <v>0</v>
      </c>
      <c r="N165" s="46">
        <f ca="1">IFERROR(__xludf.DUMMYFUNCTION("""COMPUTED_VALUE"""),0)</f>
        <v>0</v>
      </c>
      <c r="O165" s="50">
        <f t="shared" ca="1" si="1"/>
        <v>4</v>
      </c>
    </row>
    <row r="166" spans="1:15" ht="12.75">
      <c r="A166" s="50" t="str">
        <f ca="1">IFERROR(__xludf.DUMMYFUNCTION("""COMPUTED_VALUE"""),"CD57")</f>
        <v>CD57</v>
      </c>
      <c r="B166" s="77" t="str">
        <f ca="1">IFERROR(__xludf.DUMMYFUNCTION("""COMPUTED_VALUE"""),"06570102")</f>
        <v>06570102</v>
      </c>
      <c r="C166" s="48" t="str">
        <f ca="1">IFERROR(__xludf.DUMMYFUNCTION("""COMPUTED_VALUE"""),"BASSE HAM  BHTT")</f>
        <v>BASSE HAM  BHTT</v>
      </c>
      <c r="D166" s="46">
        <f ca="1">IFERROR(__xludf.DUMMYFUNCTION("""COMPUTED_VALUE"""),1)</f>
        <v>1</v>
      </c>
      <c r="E166" s="46">
        <f ca="1">IFERROR(__xludf.DUMMYFUNCTION("""COMPUTED_VALUE"""),0)</f>
        <v>0</v>
      </c>
      <c r="F166" s="46">
        <f ca="1">IFERROR(__xludf.DUMMYFUNCTION("""COMPUTED_VALUE"""),0)</f>
        <v>0</v>
      </c>
      <c r="G166" s="46">
        <f ca="1">IFERROR(__xludf.DUMMYFUNCTION("""COMPUTED_VALUE"""),0)</f>
        <v>0</v>
      </c>
      <c r="H166" s="46">
        <f ca="1">IFERROR(__xludf.DUMMYFUNCTION("""COMPUTED_VALUE"""),0)</f>
        <v>0</v>
      </c>
      <c r="I166" s="46">
        <f ca="1">IFERROR(__xludf.DUMMYFUNCTION("""COMPUTED_VALUE"""),0)</f>
        <v>0</v>
      </c>
      <c r="J166" s="46">
        <f ca="1">IFERROR(__xludf.DUMMYFUNCTION("""COMPUTED_VALUE"""),0)</f>
        <v>0</v>
      </c>
      <c r="K166" s="46">
        <f ca="1">IFERROR(__xludf.DUMMYFUNCTION("""COMPUTED_VALUE"""),0)</f>
        <v>0</v>
      </c>
      <c r="L166" s="46">
        <f ca="1">IFERROR(__xludf.DUMMYFUNCTION("""COMPUTED_VALUE"""),0)</f>
        <v>0</v>
      </c>
      <c r="M166" s="46">
        <f ca="1">IFERROR(__xludf.DUMMYFUNCTION("""COMPUTED_VALUE"""),0)</f>
        <v>0</v>
      </c>
      <c r="N166" s="46">
        <f ca="1">IFERROR(__xludf.DUMMYFUNCTION("""COMPUTED_VALUE"""),0)</f>
        <v>0</v>
      </c>
      <c r="O166" s="50">
        <f t="shared" ca="1" si="1"/>
        <v>1</v>
      </c>
    </row>
    <row r="167" spans="1:15" ht="12.75">
      <c r="A167" s="50" t="str">
        <f ca="1">IFERROR(__xludf.DUMMYFUNCTION("""COMPUTED_VALUE"""),"CD57")</f>
        <v>CD57</v>
      </c>
      <c r="B167" s="77" t="str">
        <f ca="1">IFERROR(__xludf.DUMMYFUNCTION("""COMPUTED_VALUE"""),"06570107")</f>
        <v>06570107</v>
      </c>
      <c r="C167" s="48" t="str">
        <f ca="1">IFERROR(__xludf.DUMMYFUNCTION("""COMPUTED_VALUE"""),"MAIZIÈRES-LÈS-METZ T.T.")</f>
        <v>MAIZIÈRES-LÈS-METZ T.T.</v>
      </c>
      <c r="D167" s="46">
        <f ca="1">IFERROR(__xludf.DUMMYFUNCTION("""COMPUTED_VALUE"""),3)</f>
        <v>3</v>
      </c>
      <c r="E167" s="46">
        <f ca="1">IFERROR(__xludf.DUMMYFUNCTION("""COMPUTED_VALUE"""),0)</f>
        <v>0</v>
      </c>
      <c r="F167" s="46">
        <f ca="1">IFERROR(__xludf.DUMMYFUNCTION("""COMPUTED_VALUE"""),9)</f>
        <v>9</v>
      </c>
      <c r="G167" s="46">
        <f ca="1">IFERROR(__xludf.DUMMYFUNCTION("""COMPUTED_VALUE"""),0)</f>
        <v>0</v>
      </c>
      <c r="H167" s="46">
        <f ca="1">IFERROR(__xludf.DUMMYFUNCTION("""COMPUTED_VALUE"""),0)</f>
        <v>0</v>
      </c>
      <c r="I167" s="46">
        <f ca="1">IFERROR(__xludf.DUMMYFUNCTION("""COMPUTED_VALUE"""),2)</f>
        <v>2</v>
      </c>
      <c r="J167" s="46">
        <f ca="1">IFERROR(__xludf.DUMMYFUNCTION("""COMPUTED_VALUE"""),3)</f>
        <v>3</v>
      </c>
      <c r="K167" s="46">
        <f ca="1">IFERROR(__xludf.DUMMYFUNCTION("""COMPUTED_VALUE"""),0)</f>
        <v>0</v>
      </c>
      <c r="L167" s="46">
        <f ca="1">IFERROR(__xludf.DUMMYFUNCTION("""COMPUTED_VALUE"""),0)</f>
        <v>0</v>
      </c>
      <c r="M167" s="46">
        <f ca="1">IFERROR(__xludf.DUMMYFUNCTION("""COMPUTED_VALUE"""),0)</f>
        <v>0</v>
      </c>
      <c r="N167" s="46">
        <f ca="1">IFERROR(__xludf.DUMMYFUNCTION("""COMPUTED_VALUE"""),0)</f>
        <v>0</v>
      </c>
      <c r="O167" s="50">
        <f t="shared" ca="1" si="1"/>
        <v>17</v>
      </c>
    </row>
    <row r="168" spans="1:15" ht="12.75">
      <c r="A168" s="50" t="str">
        <f ca="1">IFERROR(__xludf.DUMMYFUNCTION("""COMPUTED_VALUE"""),"CD57")</f>
        <v>CD57</v>
      </c>
      <c r="B168" s="77" t="str">
        <f ca="1">IFERROR(__xludf.DUMMYFUNCTION("""COMPUTED_VALUE"""),"06570111")</f>
        <v>06570111</v>
      </c>
      <c r="C168" s="48" t="str">
        <f ca="1">IFERROR(__xludf.DUMMYFUNCTION("""COMPUTED_VALUE"""),"SARREBOURG TT")</f>
        <v>SARREBOURG TT</v>
      </c>
      <c r="D168" s="46">
        <f ca="1">IFERROR(__xludf.DUMMYFUNCTION("""COMPUTED_VALUE"""),6)</f>
        <v>6</v>
      </c>
      <c r="E168" s="46">
        <f ca="1">IFERROR(__xludf.DUMMYFUNCTION("""COMPUTED_VALUE"""),0)</f>
        <v>0</v>
      </c>
      <c r="F168" s="46">
        <f ca="1">IFERROR(__xludf.DUMMYFUNCTION("""COMPUTED_VALUE"""),2)</f>
        <v>2</v>
      </c>
      <c r="G168" s="46">
        <f ca="1">IFERROR(__xludf.DUMMYFUNCTION("""COMPUTED_VALUE"""),1)</f>
        <v>1</v>
      </c>
      <c r="H168" s="46">
        <f ca="1">IFERROR(__xludf.DUMMYFUNCTION("""COMPUTED_VALUE"""),0)</f>
        <v>0</v>
      </c>
      <c r="I168" s="46">
        <f ca="1">IFERROR(__xludf.DUMMYFUNCTION("""COMPUTED_VALUE"""),3)</f>
        <v>3</v>
      </c>
      <c r="J168" s="46">
        <f ca="1">IFERROR(__xludf.DUMMYFUNCTION("""COMPUTED_VALUE"""),0)</f>
        <v>0</v>
      </c>
      <c r="K168" s="46">
        <f ca="1">IFERROR(__xludf.DUMMYFUNCTION("""COMPUTED_VALUE"""),0)</f>
        <v>0</v>
      </c>
      <c r="L168" s="46">
        <f ca="1">IFERROR(__xludf.DUMMYFUNCTION("""COMPUTED_VALUE"""),0)</f>
        <v>0</v>
      </c>
      <c r="M168" s="46">
        <f ca="1">IFERROR(__xludf.DUMMYFUNCTION("""COMPUTED_VALUE"""),0)</f>
        <v>0</v>
      </c>
      <c r="N168" s="46">
        <f ca="1">IFERROR(__xludf.DUMMYFUNCTION("""COMPUTED_VALUE"""),0)</f>
        <v>0</v>
      </c>
      <c r="O168" s="50">
        <f t="shared" ca="1" si="1"/>
        <v>12</v>
      </c>
    </row>
    <row r="169" spans="1:15" ht="12.75">
      <c r="A169" s="50" t="str">
        <f ca="1">IFERROR(__xludf.DUMMYFUNCTION("""COMPUTED_VALUE"""),"CD57")</f>
        <v>CD57</v>
      </c>
      <c r="B169" s="77" t="str">
        <f ca="1">IFERROR(__xludf.DUMMYFUNCTION("""COMPUTED_VALUE"""),"06570125")</f>
        <v>06570125</v>
      </c>
      <c r="C169" s="48" t="str">
        <f ca="1">IFERROR(__xludf.DUMMYFUNCTION("""COMPUTED_VALUE"""),"HAYANGE U.S.T.H. T.T.")</f>
        <v>HAYANGE U.S.T.H. T.T.</v>
      </c>
      <c r="D169" s="46">
        <f ca="1">IFERROR(__xludf.DUMMYFUNCTION("""COMPUTED_VALUE"""),0)</f>
        <v>0</v>
      </c>
      <c r="E169" s="46">
        <f ca="1">IFERROR(__xludf.DUMMYFUNCTION("""COMPUTED_VALUE"""),0)</f>
        <v>0</v>
      </c>
      <c r="F169" s="46">
        <f ca="1">IFERROR(__xludf.DUMMYFUNCTION("""COMPUTED_VALUE"""),0)</f>
        <v>0</v>
      </c>
      <c r="G169" s="46">
        <f ca="1">IFERROR(__xludf.DUMMYFUNCTION("""COMPUTED_VALUE"""),0)</f>
        <v>0</v>
      </c>
      <c r="H169" s="46">
        <f ca="1">IFERROR(__xludf.DUMMYFUNCTION("""COMPUTED_VALUE"""),0)</f>
        <v>0</v>
      </c>
      <c r="I169" s="46">
        <f ca="1">IFERROR(__xludf.DUMMYFUNCTION("""COMPUTED_VALUE"""),0)</f>
        <v>0</v>
      </c>
      <c r="J169" s="46">
        <f ca="1">IFERROR(__xludf.DUMMYFUNCTION("""COMPUTED_VALUE"""),0)</f>
        <v>0</v>
      </c>
      <c r="K169" s="46">
        <f ca="1">IFERROR(__xludf.DUMMYFUNCTION("""COMPUTED_VALUE"""),0)</f>
        <v>0</v>
      </c>
      <c r="L169" s="46">
        <f ca="1">IFERROR(__xludf.DUMMYFUNCTION("""COMPUTED_VALUE"""),0)</f>
        <v>0</v>
      </c>
      <c r="M169" s="46">
        <f ca="1">IFERROR(__xludf.DUMMYFUNCTION("""COMPUTED_VALUE"""),0)</f>
        <v>0</v>
      </c>
      <c r="N169" s="46">
        <f ca="1">IFERROR(__xludf.DUMMYFUNCTION("""COMPUTED_VALUE"""),0)</f>
        <v>0</v>
      </c>
      <c r="O169" s="50">
        <f t="shared" ca="1" si="1"/>
        <v>0</v>
      </c>
    </row>
    <row r="170" spans="1:15" ht="12.75">
      <c r="A170" s="50" t="str">
        <f ca="1">IFERROR(__xludf.DUMMYFUNCTION("""COMPUTED_VALUE"""),"CD57")</f>
        <v>CD57</v>
      </c>
      <c r="B170" s="77" t="str">
        <f ca="1">IFERROR(__xludf.DUMMYFUNCTION("""COMPUTED_VALUE"""),"06570132")</f>
        <v>06570132</v>
      </c>
      <c r="C170" s="48" t="str">
        <f ca="1">IFERROR(__xludf.DUMMYFUNCTION("""COMPUTED_VALUE"""),"PTIT-RED &amp; ENCHEN TT")</f>
        <v>PTIT-RED &amp; ENCHEN TT</v>
      </c>
      <c r="D170" s="46">
        <f ca="1">IFERROR(__xludf.DUMMYFUNCTION("""COMPUTED_VALUE"""),0)</f>
        <v>0</v>
      </c>
      <c r="E170" s="46">
        <f ca="1">IFERROR(__xludf.DUMMYFUNCTION("""COMPUTED_VALUE"""),0)</f>
        <v>0</v>
      </c>
      <c r="F170" s="46">
        <f ca="1">IFERROR(__xludf.DUMMYFUNCTION("""COMPUTED_VALUE"""),0)</f>
        <v>0</v>
      </c>
      <c r="G170" s="46">
        <f ca="1">IFERROR(__xludf.DUMMYFUNCTION("""COMPUTED_VALUE"""),1)</f>
        <v>1</v>
      </c>
      <c r="H170" s="46">
        <f ca="1">IFERROR(__xludf.DUMMYFUNCTION("""COMPUTED_VALUE"""),0)</f>
        <v>0</v>
      </c>
      <c r="I170" s="46">
        <f ca="1">IFERROR(__xludf.DUMMYFUNCTION("""COMPUTED_VALUE"""),0)</f>
        <v>0</v>
      </c>
      <c r="J170" s="46">
        <f ca="1">IFERROR(__xludf.DUMMYFUNCTION("""COMPUTED_VALUE"""),1)</f>
        <v>1</v>
      </c>
      <c r="K170" s="46">
        <f ca="1">IFERROR(__xludf.DUMMYFUNCTION("""COMPUTED_VALUE"""),0)</f>
        <v>0</v>
      </c>
      <c r="L170" s="46">
        <f ca="1">IFERROR(__xludf.DUMMYFUNCTION("""COMPUTED_VALUE"""),0)</f>
        <v>0</v>
      </c>
      <c r="M170" s="46">
        <f ca="1">IFERROR(__xludf.DUMMYFUNCTION("""COMPUTED_VALUE"""),0)</f>
        <v>0</v>
      </c>
      <c r="N170" s="46">
        <f ca="1">IFERROR(__xludf.DUMMYFUNCTION("""COMPUTED_VALUE"""),0)</f>
        <v>0</v>
      </c>
      <c r="O170" s="50">
        <f t="shared" ca="1" si="1"/>
        <v>2</v>
      </c>
    </row>
    <row r="171" spans="1:15" ht="12.75">
      <c r="A171" s="50" t="str">
        <f ca="1">IFERROR(__xludf.DUMMYFUNCTION("""COMPUTED_VALUE"""),"CD57")</f>
        <v>CD57</v>
      </c>
      <c r="B171" s="77" t="str">
        <f ca="1">IFERROR(__xludf.DUMMYFUNCTION("""COMPUTED_VALUE"""),"06570137")</f>
        <v>06570137</v>
      </c>
      <c r="C171" s="48" t="str">
        <f ca="1">IFERROR(__xludf.DUMMYFUNCTION("""COMPUTED_VALUE"""),"ROUHLING CTT")</f>
        <v>ROUHLING CTT</v>
      </c>
      <c r="D171" s="46">
        <f ca="1">IFERROR(__xludf.DUMMYFUNCTION("""COMPUTED_VALUE"""),0)</f>
        <v>0</v>
      </c>
      <c r="E171" s="46">
        <f ca="1">IFERROR(__xludf.DUMMYFUNCTION("""COMPUTED_VALUE"""),0)</f>
        <v>0</v>
      </c>
      <c r="F171" s="46">
        <f ca="1">IFERROR(__xludf.DUMMYFUNCTION("""COMPUTED_VALUE"""),0)</f>
        <v>0</v>
      </c>
      <c r="G171" s="46">
        <f ca="1">IFERROR(__xludf.DUMMYFUNCTION("""COMPUTED_VALUE"""),0)</f>
        <v>0</v>
      </c>
      <c r="H171" s="46">
        <f ca="1">IFERROR(__xludf.DUMMYFUNCTION("""COMPUTED_VALUE"""),0)</f>
        <v>0</v>
      </c>
      <c r="I171" s="46">
        <f ca="1">IFERROR(__xludf.DUMMYFUNCTION("""COMPUTED_VALUE"""),0)</f>
        <v>0</v>
      </c>
      <c r="J171" s="46">
        <f ca="1">IFERROR(__xludf.DUMMYFUNCTION("""COMPUTED_VALUE"""),0)</f>
        <v>0</v>
      </c>
      <c r="K171" s="46">
        <f ca="1">IFERROR(__xludf.DUMMYFUNCTION("""COMPUTED_VALUE"""),0)</f>
        <v>0</v>
      </c>
      <c r="L171" s="46">
        <f ca="1">IFERROR(__xludf.DUMMYFUNCTION("""COMPUTED_VALUE"""),0)</f>
        <v>0</v>
      </c>
      <c r="M171" s="46">
        <f ca="1">IFERROR(__xludf.DUMMYFUNCTION("""COMPUTED_VALUE"""),0)</f>
        <v>0</v>
      </c>
      <c r="N171" s="46">
        <f ca="1">IFERROR(__xludf.DUMMYFUNCTION("""COMPUTED_VALUE"""),0)</f>
        <v>0</v>
      </c>
      <c r="O171" s="50">
        <f t="shared" ca="1" si="1"/>
        <v>0</v>
      </c>
    </row>
    <row r="172" spans="1:15" ht="12.75">
      <c r="A172" s="50" t="str">
        <f ca="1">IFERROR(__xludf.DUMMYFUNCTION("""COMPUTED_VALUE"""),"CD57")</f>
        <v>CD57</v>
      </c>
      <c r="B172" s="77" t="str">
        <f ca="1">IFERROR(__xludf.DUMMYFUNCTION("""COMPUTED_VALUE"""),"06570140")</f>
        <v>06570140</v>
      </c>
      <c r="C172" s="48" t="str">
        <f ca="1">IFERROR(__xludf.DUMMYFUNCTION("""COMPUTED_VALUE"""),"STE MARIE AUX CHENES ASPTT")</f>
        <v>STE MARIE AUX CHENES ASPTT</v>
      </c>
      <c r="D172" s="46">
        <f ca="1">IFERROR(__xludf.DUMMYFUNCTION("""COMPUTED_VALUE"""),1)</f>
        <v>1</v>
      </c>
      <c r="E172" s="46">
        <f ca="1">IFERROR(__xludf.DUMMYFUNCTION("""COMPUTED_VALUE"""),0)</f>
        <v>0</v>
      </c>
      <c r="F172" s="46">
        <f ca="1">IFERROR(__xludf.DUMMYFUNCTION("""COMPUTED_VALUE"""),1)</f>
        <v>1</v>
      </c>
      <c r="G172" s="46">
        <f ca="1">IFERROR(__xludf.DUMMYFUNCTION("""COMPUTED_VALUE"""),0)</f>
        <v>0</v>
      </c>
      <c r="H172" s="46">
        <f ca="1">IFERROR(__xludf.DUMMYFUNCTION("""COMPUTED_VALUE"""),0)</f>
        <v>0</v>
      </c>
      <c r="I172" s="46">
        <f ca="1">IFERROR(__xludf.DUMMYFUNCTION("""COMPUTED_VALUE"""),1)</f>
        <v>1</v>
      </c>
      <c r="J172" s="46">
        <f ca="1">IFERROR(__xludf.DUMMYFUNCTION("""COMPUTED_VALUE"""),0)</f>
        <v>0</v>
      </c>
      <c r="K172" s="46">
        <f ca="1">IFERROR(__xludf.DUMMYFUNCTION("""COMPUTED_VALUE"""),0)</f>
        <v>0</v>
      </c>
      <c r="L172" s="46">
        <f ca="1">IFERROR(__xludf.DUMMYFUNCTION("""COMPUTED_VALUE"""),0)</f>
        <v>0</v>
      </c>
      <c r="M172" s="46">
        <f ca="1">IFERROR(__xludf.DUMMYFUNCTION("""COMPUTED_VALUE"""),0)</f>
        <v>0</v>
      </c>
      <c r="N172" s="46">
        <f ca="1">IFERROR(__xludf.DUMMYFUNCTION("""COMPUTED_VALUE"""),0)</f>
        <v>0</v>
      </c>
      <c r="O172" s="50">
        <f t="shared" ca="1" si="1"/>
        <v>3</v>
      </c>
    </row>
    <row r="173" spans="1:15" ht="12.75">
      <c r="A173" s="50" t="str">
        <f ca="1">IFERROR(__xludf.DUMMYFUNCTION("""COMPUTED_VALUE"""),"CD57")</f>
        <v>CD57</v>
      </c>
      <c r="B173" s="77" t="str">
        <f ca="1">IFERROR(__xludf.DUMMYFUNCTION("""COMPUTED_VALUE"""),"06570146")</f>
        <v>06570146</v>
      </c>
      <c r="C173" s="48" t="str">
        <f ca="1">IFERROR(__xludf.DUMMYFUNCTION("""COMPUTED_VALUE"""),"ROHRBACH-LES-BITCHE TT")</f>
        <v>ROHRBACH-LES-BITCHE TT</v>
      </c>
      <c r="D173" s="46">
        <f ca="1">IFERROR(__xludf.DUMMYFUNCTION("""COMPUTED_VALUE"""),0)</f>
        <v>0</v>
      </c>
      <c r="E173" s="46">
        <f ca="1">IFERROR(__xludf.DUMMYFUNCTION("""COMPUTED_VALUE"""),0)</f>
        <v>0</v>
      </c>
      <c r="F173" s="46">
        <f ca="1">IFERROR(__xludf.DUMMYFUNCTION("""COMPUTED_VALUE"""),1)</f>
        <v>1</v>
      </c>
      <c r="G173" s="46">
        <f ca="1">IFERROR(__xludf.DUMMYFUNCTION("""COMPUTED_VALUE"""),0)</f>
        <v>0</v>
      </c>
      <c r="H173" s="46">
        <f ca="1">IFERROR(__xludf.DUMMYFUNCTION("""COMPUTED_VALUE"""),0)</f>
        <v>0</v>
      </c>
      <c r="I173" s="46">
        <f ca="1">IFERROR(__xludf.DUMMYFUNCTION("""COMPUTED_VALUE"""),1)</f>
        <v>1</v>
      </c>
      <c r="J173" s="46">
        <f ca="1">IFERROR(__xludf.DUMMYFUNCTION("""COMPUTED_VALUE"""),0)</f>
        <v>0</v>
      </c>
      <c r="K173" s="46">
        <f ca="1">IFERROR(__xludf.DUMMYFUNCTION("""COMPUTED_VALUE"""),0)</f>
        <v>0</v>
      </c>
      <c r="L173" s="46">
        <f ca="1">IFERROR(__xludf.DUMMYFUNCTION("""COMPUTED_VALUE"""),0)</f>
        <v>0</v>
      </c>
      <c r="M173" s="46">
        <f ca="1">IFERROR(__xludf.DUMMYFUNCTION("""COMPUTED_VALUE"""),0)</f>
        <v>0</v>
      </c>
      <c r="N173" s="46">
        <f ca="1">IFERROR(__xludf.DUMMYFUNCTION("""COMPUTED_VALUE"""),0)</f>
        <v>0</v>
      </c>
      <c r="O173" s="50">
        <f t="shared" ca="1" si="1"/>
        <v>2</v>
      </c>
    </row>
    <row r="174" spans="1:15" ht="12.75">
      <c r="A174" s="50" t="str">
        <f ca="1">IFERROR(__xludf.DUMMYFUNCTION("""COMPUTED_VALUE"""),"CD57")</f>
        <v>CD57</v>
      </c>
      <c r="B174" s="77" t="str">
        <f ca="1">IFERROR(__xludf.DUMMYFUNCTION("""COMPUTED_VALUE"""),"06570154")</f>
        <v>06570154</v>
      </c>
      <c r="C174" s="48" t="str">
        <f ca="1">IFERROR(__xludf.DUMMYFUNCTION("""COMPUTED_VALUE"""),"SAINT JEAN KOURTZERODE LJ")</f>
        <v>SAINT JEAN KOURTZERODE LJ</v>
      </c>
      <c r="D174" s="46">
        <f ca="1">IFERROR(__xludf.DUMMYFUNCTION("""COMPUTED_VALUE"""),0)</f>
        <v>0</v>
      </c>
      <c r="E174" s="46">
        <f ca="1">IFERROR(__xludf.DUMMYFUNCTION("""COMPUTED_VALUE"""),0)</f>
        <v>0</v>
      </c>
      <c r="F174" s="46">
        <f ca="1">IFERROR(__xludf.DUMMYFUNCTION("""COMPUTED_VALUE"""),4)</f>
        <v>4</v>
      </c>
      <c r="G174" s="46">
        <f ca="1">IFERROR(__xludf.DUMMYFUNCTION("""COMPUTED_VALUE"""),0)</f>
        <v>0</v>
      </c>
      <c r="H174" s="46">
        <f ca="1">IFERROR(__xludf.DUMMYFUNCTION("""COMPUTED_VALUE"""),0)</f>
        <v>0</v>
      </c>
      <c r="I174" s="46">
        <f ca="1">IFERROR(__xludf.DUMMYFUNCTION("""COMPUTED_VALUE"""),4)</f>
        <v>4</v>
      </c>
      <c r="J174" s="46">
        <f ca="1">IFERROR(__xludf.DUMMYFUNCTION("""COMPUTED_VALUE"""),0)</f>
        <v>0</v>
      </c>
      <c r="K174" s="46">
        <f ca="1">IFERROR(__xludf.DUMMYFUNCTION("""COMPUTED_VALUE"""),0)</f>
        <v>0</v>
      </c>
      <c r="L174" s="46">
        <f ca="1">IFERROR(__xludf.DUMMYFUNCTION("""COMPUTED_VALUE"""),0)</f>
        <v>0</v>
      </c>
      <c r="M174" s="46">
        <f ca="1">IFERROR(__xludf.DUMMYFUNCTION("""COMPUTED_VALUE"""),0)</f>
        <v>0</v>
      </c>
      <c r="N174" s="46">
        <f ca="1">IFERROR(__xludf.DUMMYFUNCTION("""COMPUTED_VALUE"""),0)</f>
        <v>0</v>
      </c>
      <c r="O174" s="50">
        <f t="shared" ca="1" si="1"/>
        <v>8</v>
      </c>
    </row>
    <row r="175" spans="1:15" ht="12.75">
      <c r="A175" s="50" t="str">
        <f ca="1">IFERROR(__xludf.DUMMYFUNCTION("""COMPUTED_VALUE"""),"CD57")</f>
        <v>CD57</v>
      </c>
      <c r="B175" s="77" t="str">
        <f ca="1">IFERROR(__xludf.DUMMYFUNCTION("""COMPUTED_VALUE"""),"06570158")</f>
        <v>06570158</v>
      </c>
      <c r="C175" s="48" t="str">
        <f ca="1">IFERROR(__xludf.DUMMYFUNCTION("""COMPUTED_VALUE"""),"KNUTANGE-NILVANGE TT")</f>
        <v>KNUTANGE-NILVANGE TT</v>
      </c>
      <c r="D175" s="46">
        <f ca="1">IFERROR(__xludf.DUMMYFUNCTION("""COMPUTED_VALUE"""),1)</f>
        <v>1</v>
      </c>
      <c r="E175" s="46">
        <f ca="1">IFERROR(__xludf.DUMMYFUNCTION("""COMPUTED_VALUE"""),0)</f>
        <v>0</v>
      </c>
      <c r="F175" s="46">
        <f ca="1">IFERROR(__xludf.DUMMYFUNCTION("""COMPUTED_VALUE"""),1)</f>
        <v>1</v>
      </c>
      <c r="G175" s="46">
        <f ca="1">IFERROR(__xludf.DUMMYFUNCTION("""COMPUTED_VALUE"""),0)</f>
        <v>0</v>
      </c>
      <c r="H175" s="46">
        <f ca="1">IFERROR(__xludf.DUMMYFUNCTION("""COMPUTED_VALUE"""),0)</f>
        <v>0</v>
      </c>
      <c r="I175" s="46">
        <f ca="1">IFERROR(__xludf.DUMMYFUNCTION("""COMPUTED_VALUE"""),1)</f>
        <v>1</v>
      </c>
      <c r="J175" s="46">
        <f ca="1">IFERROR(__xludf.DUMMYFUNCTION("""COMPUTED_VALUE"""),0)</f>
        <v>0</v>
      </c>
      <c r="K175" s="46">
        <f ca="1">IFERROR(__xludf.DUMMYFUNCTION("""COMPUTED_VALUE"""),0)</f>
        <v>0</v>
      </c>
      <c r="L175" s="46">
        <f ca="1">IFERROR(__xludf.DUMMYFUNCTION("""COMPUTED_VALUE"""),0)</f>
        <v>0</v>
      </c>
      <c r="M175" s="46">
        <f ca="1">IFERROR(__xludf.DUMMYFUNCTION("""COMPUTED_VALUE"""),0)</f>
        <v>0</v>
      </c>
      <c r="N175" s="46">
        <f ca="1">IFERROR(__xludf.DUMMYFUNCTION("""COMPUTED_VALUE"""),0)</f>
        <v>0</v>
      </c>
      <c r="O175" s="50">
        <f t="shared" ca="1" si="1"/>
        <v>3</v>
      </c>
    </row>
    <row r="176" spans="1:15" ht="12.75">
      <c r="A176" s="50" t="str">
        <f ca="1">IFERROR(__xludf.DUMMYFUNCTION("""COMPUTED_VALUE"""),"CD57")</f>
        <v>CD57</v>
      </c>
      <c r="B176" s="77" t="str">
        <f ca="1">IFERROR(__xludf.DUMMYFUNCTION("""COMPUTED_VALUE"""),"06570159")</f>
        <v>06570159</v>
      </c>
      <c r="C176" s="48" t="str">
        <f ca="1">IFERROR(__xludf.DUMMYFUNCTION("""COMPUTED_VALUE"""),"VERGAVILLE F.R.")</f>
        <v>VERGAVILLE F.R.</v>
      </c>
      <c r="D176" s="46">
        <f ca="1">IFERROR(__xludf.DUMMYFUNCTION("""COMPUTED_VALUE"""),0)</f>
        <v>0</v>
      </c>
      <c r="E176" s="46">
        <f ca="1">IFERROR(__xludf.DUMMYFUNCTION("""COMPUTED_VALUE"""),0)</f>
        <v>0</v>
      </c>
      <c r="F176" s="46">
        <f ca="1">IFERROR(__xludf.DUMMYFUNCTION("""COMPUTED_VALUE"""),0)</f>
        <v>0</v>
      </c>
      <c r="G176" s="46">
        <f ca="1">IFERROR(__xludf.DUMMYFUNCTION("""COMPUTED_VALUE"""),0)</f>
        <v>0</v>
      </c>
      <c r="H176" s="46">
        <f ca="1">IFERROR(__xludf.DUMMYFUNCTION("""COMPUTED_VALUE"""),0)</f>
        <v>0</v>
      </c>
      <c r="I176" s="46">
        <f ca="1">IFERROR(__xludf.DUMMYFUNCTION("""COMPUTED_VALUE"""),0)</f>
        <v>0</v>
      </c>
      <c r="J176" s="46">
        <f ca="1">IFERROR(__xludf.DUMMYFUNCTION("""COMPUTED_VALUE"""),0)</f>
        <v>0</v>
      </c>
      <c r="K176" s="46">
        <f ca="1">IFERROR(__xludf.DUMMYFUNCTION("""COMPUTED_VALUE"""),0)</f>
        <v>0</v>
      </c>
      <c r="L176" s="46">
        <f ca="1">IFERROR(__xludf.DUMMYFUNCTION("""COMPUTED_VALUE"""),0)</f>
        <v>0</v>
      </c>
      <c r="M176" s="46">
        <f ca="1">IFERROR(__xludf.DUMMYFUNCTION("""COMPUTED_VALUE"""),0)</f>
        <v>0</v>
      </c>
      <c r="N176" s="46">
        <f ca="1">IFERROR(__xludf.DUMMYFUNCTION("""COMPUTED_VALUE"""),0)</f>
        <v>0</v>
      </c>
      <c r="O176" s="50">
        <f t="shared" ca="1" si="1"/>
        <v>0</v>
      </c>
    </row>
    <row r="177" spans="1:15" ht="12.75">
      <c r="A177" s="50" t="str">
        <f ca="1">IFERROR(__xludf.DUMMYFUNCTION("""COMPUTED_VALUE"""),"CD57")</f>
        <v>CD57</v>
      </c>
      <c r="B177" s="77" t="str">
        <f ca="1">IFERROR(__xludf.DUMMYFUNCTION("""COMPUTED_VALUE"""),"06570167")</f>
        <v>06570167</v>
      </c>
      <c r="C177" s="48" t="str">
        <f ca="1">IFERROR(__xludf.DUMMYFUNCTION("""COMPUTED_VALUE"""),"ST JEAN ROHRBACH ALPR")</f>
        <v>ST JEAN ROHRBACH ALPR</v>
      </c>
      <c r="D177" s="46">
        <f ca="1">IFERROR(__xludf.DUMMYFUNCTION("""COMPUTED_VALUE"""),0)</f>
        <v>0</v>
      </c>
      <c r="E177" s="46">
        <f ca="1">IFERROR(__xludf.DUMMYFUNCTION("""COMPUTED_VALUE"""),0)</f>
        <v>0</v>
      </c>
      <c r="F177" s="46">
        <f ca="1">IFERROR(__xludf.DUMMYFUNCTION("""COMPUTED_VALUE"""),0)</f>
        <v>0</v>
      </c>
      <c r="G177" s="46">
        <f ca="1">IFERROR(__xludf.DUMMYFUNCTION("""COMPUTED_VALUE"""),0)</f>
        <v>0</v>
      </c>
      <c r="H177" s="46">
        <f ca="1">IFERROR(__xludf.DUMMYFUNCTION("""COMPUTED_VALUE"""),0)</f>
        <v>0</v>
      </c>
      <c r="I177" s="46">
        <f ca="1">IFERROR(__xludf.DUMMYFUNCTION("""COMPUTED_VALUE"""),0)</f>
        <v>0</v>
      </c>
      <c r="J177" s="46">
        <f ca="1">IFERROR(__xludf.DUMMYFUNCTION("""COMPUTED_VALUE"""),0)</f>
        <v>0</v>
      </c>
      <c r="K177" s="46">
        <f ca="1">IFERROR(__xludf.DUMMYFUNCTION("""COMPUTED_VALUE"""),0)</f>
        <v>0</v>
      </c>
      <c r="L177" s="46">
        <f ca="1">IFERROR(__xludf.DUMMYFUNCTION("""COMPUTED_VALUE"""),0)</f>
        <v>0</v>
      </c>
      <c r="M177" s="46">
        <f ca="1">IFERROR(__xludf.DUMMYFUNCTION("""COMPUTED_VALUE"""),0)</f>
        <v>0</v>
      </c>
      <c r="N177" s="46">
        <f ca="1">IFERROR(__xludf.DUMMYFUNCTION("""COMPUTED_VALUE"""),0)</f>
        <v>0</v>
      </c>
      <c r="O177" s="50">
        <f t="shared" ca="1" si="1"/>
        <v>0</v>
      </c>
    </row>
    <row r="178" spans="1:15" ht="12.75">
      <c r="A178" s="50" t="str">
        <f ca="1">IFERROR(__xludf.DUMMYFUNCTION("""COMPUTED_VALUE"""),"CD57")</f>
        <v>CD57</v>
      </c>
      <c r="B178" s="77" t="str">
        <f ca="1">IFERROR(__xludf.DUMMYFUNCTION("""COMPUTED_VALUE"""),"06570168")</f>
        <v>06570168</v>
      </c>
      <c r="C178" s="48" t="str">
        <f ca="1">IFERROR(__xludf.DUMMYFUNCTION("""COMPUTED_VALUE"""),"KONACKER HAYANGE S.L.")</f>
        <v>KONACKER HAYANGE S.L.</v>
      </c>
      <c r="D178" s="46">
        <f ca="1">IFERROR(__xludf.DUMMYFUNCTION("""COMPUTED_VALUE"""),0)</f>
        <v>0</v>
      </c>
      <c r="E178" s="46">
        <f ca="1">IFERROR(__xludf.DUMMYFUNCTION("""COMPUTED_VALUE"""),0)</f>
        <v>0</v>
      </c>
      <c r="F178" s="46">
        <f ca="1">IFERROR(__xludf.DUMMYFUNCTION("""COMPUTED_VALUE"""),0)</f>
        <v>0</v>
      </c>
      <c r="G178" s="46">
        <f ca="1">IFERROR(__xludf.DUMMYFUNCTION("""COMPUTED_VALUE"""),0)</f>
        <v>0</v>
      </c>
      <c r="H178" s="46">
        <f ca="1">IFERROR(__xludf.DUMMYFUNCTION("""COMPUTED_VALUE"""),0)</f>
        <v>0</v>
      </c>
      <c r="I178" s="46">
        <f ca="1">IFERROR(__xludf.DUMMYFUNCTION("""COMPUTED_VALUE"""),0)</f>
        <v>0</v>
      </c>
      <c r="J178" s="46">
        <f ca="1">IFERROR(__xludf.DUMMYFUNCTION("""COMPUTED_VALUE"""),0)</f>
        <v>0</v>
      </c>
      <c r="K178" s="46">
        <f ca="1">IFERROR(__xludf.DUMMYFUNCTION("""COMPUTED_VALUE"""),0)</f>
        <v>0</v>
      </c>
      <c r="L178" s="46">
        <f ca="1">IFERROR(__xludf.DUMMYFUNCTION("""COMPUTED_VALUE"""),0)</f>
        <v>0</v>
      </c>
      <c r="M178" s="46">
        <f ca="1">IFERROR(__xludf.DUMMYFUNCTION("""COMPUTED_VALUE"""),0)</f>
        <v>0</v>
      </c>
      <c r="N178" s="46">
        <f ca="1">IFERROR(__xludf.DUMMYFUNCTION("""COMPUTED_VALUE"""),0)</f>
        <v>0</v>
      </c>
      <c r="O178" s="50">
        <f t="shared" ca="1" si="1"/>
        <v>0</v>
      </c>
    </row>
    <row r="179" spans="1:15" ht="12.75">
      <c r="A179" s="50" t="str">
        <f ca="1">IFERROR(__xludf.DUMMYFUNCTION("""COMPUTED_VALUE"""),"CD57")</f>
        <v>CD57</v>
      </c>
      <c r="B179" s="77" t="str">
        <f ca="1">IFERROR(__xludf.DUMMYFUNCTION("""COMPUTED_VALUE"""),"06570169")</f>
        <v>06570169</v>
      </c>
      <c r="C179" s="48" t="str">
        <f ca="1">IFERROR(__xludf.DUMMYFUNCTION("""COMPUTED_VALUE"""),"MOULINS LES METZ FC")</f>
        <v>MOULINS LES METZ FC</v>
      </c>
      <c r="D179" s="46">
        <f ca="1">IFERROR(__xludf.DUMMYFUNCTION("""COMPUTED_VALUE"""),0)</f>
        <v>0</v>
      </c>
      <c r="E179" s="46">
        <f ca="1">IFERROR(__xludf.DUMMYFUNCTION("""COMPUTED_VALUE"""),0)</f>
        <v>0</v>
      </c>
      <c r="F179" s="46">
        <f ca="1">IFERROR(__xludf.DUMMYFUNCTION("""COMPUTED_VALUE"""),0)</f>
        <v>0</v>
      </c>
      <c r="G179" s="46">
        <f ca="1">IFERROR(__xludf.DUMMYFUNCTION("""COMPUTED_VALUE"""),0)</f>
        <v>0</v>
      </c>
      <c r="H179" s="46">
        <f ca="1">IFERROR(__xludf.DUMMYFUNCTION("""COMPUTED_VALUE"""),0)</f>
        <v>0</v>
      </c>
      <c r="I179" s="46">
        <f ca="1">IFERROR(__xludf.DUMMYFUNCTION("""COMPUTED_VALUE"""),0)</f>
        <v>0</v>
      </c>
      <c r="J179" s="46">
        <f ca="1">IFERROR(__xludf.DUMMYFUNCTION("""COMPUTED_VALUE"""),0)</f>
        <v>0</v>
      </c>
      <c r="K179" s="46">
        <f ca="1">IFERROR(__xludf.DUMMYFUNCTION("""COMPUTED_VALUE"""),0)</f>
        <v>0</v>
      </c>
      <c r="L179" s="46">
        <f ca="1">IFERROR(__xludf.DUMMYFUNCTION("""COMPUTED_VALUE"""),0)</f>
        <v>0</v>
      </c>
      <c r="M179" s="46">
        <f ca="1">IFERROR(__xludf.DUMMYFUNCTION("""COMPUTED_VALUE"""),0)</f>
        <v>0</v>
      </c>
      <c r="N179" s="46">
        <f ca="1">IFERROR(__xludf.DUMMYFUNCTION("""COMPUTED_VALUE"""),0)</f>
        <v>0</v>
      </c>
      <c r="O179" s="50">
        <f t="shared" ca="1" si="1"/>
        <v>0</v>
      </c>
    </row>
    <row r="180" spans="1:15" ht="12.75">
      <c r="A180" s="50" t="str">
        <f ca="1">IFERROR(__xludf.DUMMYFUNCTION("""COMPUTED_VALUE"""),"CD57")</f>
        <v>CD57</v>
      </c>
      <c r="B180" s="77" t="str">
        <f ca="1">IFERROR(__xludf.DUMMYFUNCTION("""COMPUTED_VALUE"""),"06570173")</f>
        <v>06570173</v>
      </c>
      <c r="C180" s="48" t="str">
        <f ca="1">IFERROR(__xludf.DUMMYFUNCTION("""COMPUTED_VALUE"""),"VIC SUR SEILLE EP")</f>
        <v>VIC SUR SEILLE EP</v>
      </c>
      <c r="D180" s="46">
        <f ca="1">IFERROR(__xludf.DUMMYFUNCTION("""COMPUTED_VALUE"""),0)</f>
        <v>0</v>
      </c>
      <c r="E180" s="46">
        <f ca="1">IFERROR(__xludf.DUMMYFUNCTION("""COMPUTED_VALUE"""),0)</f>
        <v>0</v>
      </c>
      <c r="F180" s="46">
        <f ca="1">IFERROR(__xludf.DUMMYFUNCTION("""COMPUTED_VALUE"""),0)</f>
        <v>0</v>
      </c>
      <c r="G180" s="46">
        <f ca="1">IFERROR(__xludf.DUMMYFUNCTION("""COMPUTED_VALUE"""),0)</f>
        <v>0</v>
      </c>
      <c r="H180" s="46">
        <f ca="1">IFERROR(__xludf.DUMMYFUNCTION("""COMPUTED_VALUE"""),0)</f>
        <v>0</v>
      </c>
      <c r="I180" s="46">
        <f ca="1">IFERROR(__xludf.DUMMYFUNCTION("""COMPUTED_VALUE"""),0)</f>
        <v>0</v>
      </c>
      <c r="J180" s="46">
        <f ca="1">IFERROR(__xludf.DUMMYFUNCTION("""COMPUTED_VALUE"""),0)</f>
        <v>0</v>
      </c>
      <c r="K180" s="46">
        <f ca="1">IFERROR(__xludf.DUMMYFUNCTION("""COMPUTED_VALUE"""),0)</f>
        <v>0</v>
      </c>
      <c r="L180" s="46">
        <f ca="1">IFERROR(__xludf.DUMMYFUNCTION("""COMPUTED_VALUE"""),0)</f>
        <v>0</v>
      </c>
      <c r="M180" s="46">
        <f ca="1">IFERROR(__xludf.DUMMYFUNCTION("""COMPUTED_VALUE"""),0)</f>
        <v>0</v>
      </c>
      <c r="N180" s="46">
        <f ca="1">IFERROR(__xludf.DUMMYFUNCTION("""COMPUTED_VALUE"""),0)</f>
        <v>0</v>
      </c>
      <c r="O180" s="50">
        <f t="shared" ca="1" si="1"/>
        <v>0</v>
      </c>
    </row>
    <row r="181" spans="1:15" ht="12.75">
      <c r="A181" s="50" t="str">
        <f ca="1">IFERROR(__xludf.DUMMYFUNCTION("""COMPUTED_VALUE"""),"CD57")</f>
        <v>CD57</v>
      </c>
      <c r="B181" s="77" t="str">
        <f ca="1">IFERROR(__xludf.DUMMYFUNCTION("""COMPUTED_VALUE"""),"06570174")</f>
        <v>06570174</v>
      </c>
      <c r="C181" s="48" t="str">
        <f ca="1">IFERROR(__xludf.DUMMYFUNCTION("""COMPUTED_VALUE"""),"BERTRANGE-DISTROFF TT")</f>
        <v>BERTRANGE-DISTROFF TT</v>
      </c>
      <c r="D181" s="46">
        <f ca="1">IFERROR(__xludf.DUMMYFUNCTION("""COMPUTED_VALUE"""),0)</f>
        <v>0</v>
      </c>
      <c r="E181" s="46">
        <f ca="1">IFERROR(__xludf.DUMMYFUNCTION("""COMPUTED_VALUE"""),0)</f>
        <v>0</v>
      </c>
      <c r="F181" s="46">
        <f ca="1">IFERROR(__xludf.DUMMYFUNCTION("""COMPUTED_VALUE"""),1)</f>
        <v>1</v>
      </c>
      <c r="G181" s="46">
        <f ca="1">IFERROR(__xludf.DUMMYFUNCTION("""COMPUTED_VALUE"""),0)</f>
        <v>0</v>
      </c>
      <c r="H181" s="46">
        <f ca="1">IFERROR(__xludf.DUMMYFUNCTION("""COMPUTED_VALUE"""),0)</f>
        <v>0</v>
      </c>
      <c r="I181" s="46">
        <f ca="1">IFERROR(__xludf.DUMMYFUNCTION("""COMPUTED_VALUE"""),1)</f>
        <v>1</v>
      </c>
      <c r="J181" s="46">
        <f ca="1">IFERROR(__xludf.DUMMYFUNCTION("""COMPUTED_VALUE"""),0)</f>
        <v>0</v>
      </c>
      <c r="K181" s="46">
        <f ca="1">IFERROR(__xludf.DUMMYFUNCTION("""COMPUTED_VALUE"""),0)</f>
        <v>0</v>
      </c>
      <c r="L181" s="46">
        <f ca="1">IFERROR(__xludf.DUMMYFUNCTION("""COMPUTED_VALUE"""),0)</f>
        <v>0</v>
      </c>
      <c r="M181" s="46">
        <f ca="1">IFERROR(__xludf.DUMMYFUNCTION("""COMPUTED_VALUE"""),0)</f>
        <v>0</v>
      </c>
      <c r="N181" s="46">
        <f ca="1">IFERROR(__xludf.DUMMYFUNCTION("""COMPUTED_VALUE"""),0)</f>
        <v>0</v>
      </c>
      <c r="O181" s="50">
        <f t="shared" ca="1" si="1"/>
        <v>2</v>
      </c>
    </row>
    <row r="182" spans="1:15" ht="12.75">
      <c r="A182" s="50" t="str">
        <f ca="1">IFERROR(__xludf.DUMMYFUNCTION("""COMPUTED_VALUE"""),"CD57")</f>
        <v>CD57</v>
      </c>
      <c r="B182" s="77" t="str">
        <f ca="1">IFERROR(__xludf.DUMMYFUNCTION("""COMPUTED_VALUE"""),"06570175")</f>
        <v>06570175</v>
      </c>
      <c r="C182" s="48" t="str">
        <f ca="1">IFERROR(__xludf.DUMMYFUNCTION("""COMPUTED_VALUE"""),"METZ GRANGE AUX BOIS TT")</f>
        <v>METZ GRANGE AUX BOIS TT</v>
      </c>
      <c r="D182" s="46">
        <f ca="1">IFERROR(__xludf.DUMMYFUNCTION("""COMPUTED_VALUE"""),0)</f>
        <v>0</v>
      </c>
      <c r="E182" s="46">
        <f ca="1">IFERROR(__xludf.DUMMYFUNCTION("""COMPUTED_VALUE"""),0)</f>
        <v>0</v>
      </c>
      <c r="F182" s="46">
        <f ca="1">IFERROR(__xludf.DUMMYFUNCTION("""COMPUTED_VALUE"""),1)</f>
        <v>1</v>
      </c>
      <c r="G182" s="46">
        <f ca="1">IFERROR(__xludf.DUMMYFUNCTION("""COMPUTED_VALUE"""),0)</f>
        <v>0</v>
      </c>
      <c r="H182" s="46">
        <f ca="1">IFERROR(__xludf.DUMMYFUNCTION("""COMPUTED_VALUE"""),0)</f>
        <v>0</v>
      </c>
      <c r="I182" s="46">
        <f ca="1">IFERROR(__xludf.DUMMYFUNCTION("""COMPUTED_VALUE"""),1)</f>
        <v>1</v>
      </c>
      <c r="J182" s="46">
        <f ca="1">IFERROR(__xludf.DUMMYFUNCTION("""COMPUTED_VALUE"""),0)</f>
        <v>0</v>
      </c>
      <c r="K182" s="46">
        <f ca="1">IFERROR(__xludf.DUMMYFUNCTION("""COMPUTED_VALUE"""),0)</f>
        <v>0</v>
      </c>
      <c r="L182" s="46">
        <f ca="1">IFERROR(__xludf.DUMMYFUNCTION("""COMPUTED_VALUE"""),0)</f>
        <v>0</v>
      </c>
      <c r="M182" s="46">
        <f ca="1">IFERROR(__xludf.DUMMYFUNCTION("""COMPUTED_VALUE"""),0)</f>
        <v>0</v>
      </c>
      <c r="N182" s="46">
        <f ca="1">IFERROR(__xludf.DUMMYFUNCTION("""COMPUTED_VALUE"""),0)</f>
        <v>0</v>
      </c>
      <c r="O182" s="50">
        <f t="shared" ca="1" si="1"/>
        <v>2</v>
      </c>
    </row>
    <row r="183" spans="1:15" ht="12.75">
      <c r="A183" s="50" t="str">
        <f ca="1">IFERROR(__xludf.DUMMYFUNCTION("""COMPUTED_VALUE"""),"CD57")</f>
        <v>CD57</v>
      </c>
      <c r="B183" s="77" t="str">
        <f ca="1">IFERROR(__xludf.DUMMYFUNCTION("""COMPUTED_VALUE"""),"06570177")</f>
        <v>06570177</v>
      </c>
      <c r="C183" s="48" t="str">
        <f ca="1">IFERROR(__xludf.DUMMYFUNCTION("""COMPUTED_VALUE"""),"AUDUN LE TICHE JSA")</f>
        <v>AUDUN LE TICHE JSA</v>
      </c>
      <c r="D183" s="46">
        <f ca="1">IFERROR(__xludf.DUMMYFUNCTION("""COMPUTED_VALUE"""),0)</f>
        <v>0</v>
      </c>
      <c r="E183" s="46">
        <f ca="1">IFERROR(__xludf.DUMMYFUNCTION("""COMPUTED_VALUE"""),0)</f>
        <v>0</v>
      </c>
      <c r="F183" s="46">
        <f ca="1">IFERROR(__xludf.DUMMYFUNCTION("""COMPUTED_VALUE"""),0)</f>
        <v>0</v>
      </c>
      <c r="G183" s="46">
        <f ca="1">IFERROR(__xludf.DUMMYFUNCTION("""COMPUTED_VALUE"""),0)</f>
        <v>0</v>
      </c>
      <c r="H183" s="46">
        <f ca="1">IFERROR(__xludf.DUMMYFUNCTION("""COMPUTED_VALUE"""),0)</f>
        <v>0</v>
      </c>
      <c r="I183" s="46">
        <f ca="1">IFERROR(__xludf.DUMMYFUNCTION("""COMPUTED_VALUE"""),0)</f>
        <v>0</v>
      </c>
      <c r="J183" s="46">
        <f ca="1">IFERROR(__xludf.DUMMYFUNCTION("""COMPUTED_VALUE"""),0)</f>
        <v>0</v>
      </c>
      <c r="K183" s="46">
        <f ca="1">IFERROR(__xludf.DUMMYFUNCTION("""COMPUTED_VALUE"""),0)</f>
        <v>0</v>
      </c>
      <c r="L183" s="46">
        <f ca="1">IFERROR(__xludf.DUMMYFUNCTION("""COMPUTED_VALUE"""),0)</f>
        <v>0</v>
      </c>
      <c r="M183" s="46">
        <f ca="1">IFERROR(__xludf.DUMMYFUNCTION("""COMPUTED_VALUE"""),0)</f>
        <v>0</v>
      </c>
      <c r="N183" s="46">
        <f ca="1">IFERROR(__xludf.DUMMYFUNCTION("""COMPUTED_VALUE"""),0)</f>
        <v>0</v>
      </c>
      <c r="O183" s="50">
        <f t="shared" ca="1" si="1"/>
        <v>0</v>
      </c>
    </row>
    <row r="184" spans="1:15" ht="12.75">
      <c r="A184" s="50" t="str">
        <f ca="1">IFERROR(__xludf.DUMMYFUNCTION("""COMPUTED_VALUE"""),"CD57")</f>
        <v>CD57</v>
      </c>
      <c r="B184" s="77" t="str">
        <f ca="1">IFERROR(__xludf.DUMMYFUNCTION("""COMPUTED_VALUE"""),"06570179")</f>
        <v>06570179</v>
      </c>
      <c r="C184" s="48" t="str">
        <f ca="1">IFERROR(__xludf.DUMMYFUNCTION("""COMPUTED_VALUE"""),"HUNDLING C.P.H.")</f>
        <v>HUNDLING C.P.H.</v>
      </c>
      <c r="D184" s="46">
        <f ca="1">IFERROR(__xludf.DUMMYFUNCTION("""COMPUTED_VALUE"""),0)</f>
        <v>0</v>
      </c>
      <c r="E184" s="46">
        <f ca="1">IFERROR(__xludf.DUMMYFUNCTION("""COMPUTED_VALUE"""),0)</f>
        <v>0</v>
      </c>
      <c r="F184" s="46">
        <f ca="1">IFERROR(__xludf.DUMMYFUNCTION("""COMPUTED_VALUE"""),0)</f>
        <v>0</v>
      </c>
      <c r="G184" s="46">
        <f ca="1">IFERROR(__xludf.DUMMYFUNCTION("""COMPUTED_VALUE"""),0)</f>
        <v>0</v>
      </c>
      <c r="H184" s="46">
        <f ca="1">IFERROR(__xludf.DUMMYFUNCTION("""COMPUTED_VALUE"""),0)</f>
        <v>0</v>
      </c>
      <c r="I184" s="46">
        <f ca="1">IFERROR(__xludf.DUMMYFUNCTION("""COMPUTED_VALUE"""),0)</f>
        <v>0</v>
      </c>
      <c r="J184" s="46">
        <f ca="1">IFERROR(__xludf.DUMMYFUNCTION("""COMPUTED_VALUE"""),0)</f>
        <v>0</v>
      </c>
      <c r="K184" s="46">
        <f ca="1">IFERROR(__xludf.DUMMYFUNCTION("""COMPUTED_VALUE"""),0)</f>
        <v>0</v>
      </c>
      <c r="L184" s="46">
        <f ca="1">IFERROR(__xludf.DUMMYFUNCTION("""COMPUTED_VALUE"""),0)</f>
        <v>0</v>
      </c>
      <c r="M184" s="46">
        <f ca="1">IFERROR(__xludf.DUMMYFUNCTION("""COMPUTED_VALUE"""),0)</f>
        <v>0</v>
      </c>
      <c r="N184" s="46">
        <f ca="1">IFERROR(__xludf.DUMMYFUNCTION("""COMPUTED_VALUE"""),0)</f>
        <v>0</v>
      </c>
      <c r="O184" s="50">
        <f t="shared" ca="1" si="1"/>
        <v>0</v>
      </c>
    </row>
    <row r="185" spans="1:15" ht="12.75">
      <c r="A185" s="50" t="str">
        <f ca="1">IFERROR(__xludf.DUMMYFUNCTION("""COMPUTED_VALUE"""),"CD57")</f>
        <v>CD57</v>
      </c>
      <c r="B185" s="77" t="str">
        <f ca="1">IFERROR(__xludf.DUMMYFUNCTION("""COMPUTED_VALUE"""),"06570180")</f>
        <v>06570180</v>
      </c>
      <c r="C185" s="48" t="str">
        <f ca="1">IFERROR(__xludf.DUMMYFUNCTION("""COMPUTED_VALUE"""),"BEHREN LES FORBACH TT")</f>
        <v>BEHREN LES FORBACH TT</v>
      </c>
      <c r="D185" s="46">
        <f ca="1">IFERROR(__xludf.DUMMYFUNCTION("""COMPUTED_VALUE"""),0)</f>
        <v>0</v>
      </c>
      <c r="E185" s="46">
        <f ca="1">IFERROR(__xludf.DUMMYFUNCTION("""COMPUTED_VALUE"""),1)</f>
        <v>1</v>
      </c>
      <c r="F185" s="46">
        <f ca="1">IFERROR(__xludf.DUMMYFUNCTION("""COMPUTED_VALUE"""),2)</f>
        <v>2</v>
      </c>
      <c r="G185" s="46">
        <f ca="1">IFERROR(__xludf.DUMMYFUNCTION("""COMPUTED_VALUE"""),0)</f>
        <v>0</v>
      </c>
      <c r="H185" s="46">
        <f ca="1">IFERROR(__xludf.DUMMYFUNCTION("""COMPUTED_VALUE"""),0)</f>
        <v>0</v>
      </c>
      <c r="I185" s="46">
        <f ca="1">IFERROR(__xludf.DUMMYFUNCTION("""COMPUTED_VALUE"""),2)</f>
        <v>2</v>
      </c>
      <c r="J185" s="46">
        <f ca="1">IFERROR(__xludf.DUMMYFUNCTION("""COMPUTED_VALUE"""),0)</f>
        <v>0</v>
      </c>
      <c r="K185" s="46">
        <f ca="1">IFERROR(__xludf.DUMMYFUNCTION("""COMPUTED_VALUE"""),0)</f>
        <v>0</v>
      </c>
      <c r="L185" s="46">
        <f ca="1">IFERROR(__xludf.DUMMYFUNCTION("""COMPUTED_VALUE"""),0)</f>
        <v>0</v>
      </c>
      <c r="M185" s="46">
        <f ca="1">IFERROR(__xludf.DUMMYFUNCTION("""COMPUTED_VALUE"""),0)</f>
        <v>0</v>
      </c>
      <c r="N185" s="46">
        <f ca="1">IFERROR(__xludf.DUMMYFUNCTION("""COMPUTED_VALUE"""),0)</f>
        <v>0</v>
      </c>
      <c r="O185" s="50">
        <f t="shared" ca="1" si="1"/>
        <v>5</v>
      </c>
    </row>
    <row r="186" spans="1:15" ht="12.75">
      <c r="A186" s="50" t="str">
        <f ca="1">IFERROR(__xludf.DUMMYFUNCTION("""COMPUTED_VALUE"""),"CD57")</f>
        <v>CD57</v>
      </c>
      <c r="B186" s="77" t="str">
        <f ca="1">IFERROR(__xludf.DUMMYFUNCTION("""COMPUTED_VALUE"""),"06570181")</f>
        <v>06570181</v>
      </c>
      <c r="C186" s="48" t="str">
        <f ca="1">IFERROR(__xludf.DUMMYFUNCTION("""COMPUTED_VALUE"""),"SCHMITTVILLER ATT")</f>
        <v>SCHMITTVILLER ATT</v>
      </c>
      <c r="D186" s="46">
        <f ca="1">IFERROR(__xludf.DUMMYFUNCTION("""COMPUTED_VALUE"""),0)</f>
        <v>0</v>
      </c>
      <c r="E186" s="46">
        <f ca="1">IFERROR(__xludf.DUMMYFUNCTION("""COMPUTED_VALUE"""),0)</f>
        <v>0</v>
      </c>
      <c r="F186" s="46">
        <f ca="1">IFERROR(__xludf.DUMMYFUNCTION("""COMPUTED_VALUE"""),0)</f>
        <v>0</v>
      </c>
      <c r="G186" s="46">
        <f ca="1">IFERROR(__xludf.DUMMYFUNCTION("""COMPUTED_VALUE"""),0)</f>
        <v>0</v>
      </c>
      <c r="H186" s="46">
        <f ca="1">IFERROR(__xludf.DUMMYFUNCTION("""COMPUTED_VALUE"""),0)</f>
        <v>0</v>
      </c>
      <c r="I186" s="46">
        <f ca="1">IFERROR(__xludf.DUMMYFUNCTION("""COMPUTED_VALUE"""),0)</f>
        <v>0</v>
      </c>
      <c r="J186" s="46">
        <f ca="1">IFERROR(__xludf.DUMMYFUNCTION("""COMPUTED_VALUE"""),0)</f>
        <v>0</v>
      </c>
      <c r="K186" s="46">
        <f ca="1">IFERROR(__xludf.DUMMYFUNCTION("""COMPUTED_VALUE"""),0)</f>
        <v>0</v>
      </c>
      <c r="L186" s="46">
        <f ca="1">IFERROR(__xludf.DUMMYFUNCTION("""COMPUTED_VALUE"""),0)</f>
        <v>0</v>
      </c>
      <c r="M186" s="46">
        <f ca="1">IFERROR(__xludf.DUMMYFUNCTION("""COMPUTED_VALUE"""),0)</f>
        <v>0</v>
      </c>
      <c r="N186" s="46">
        <f ca="1">IFERROR(__xludf.DUMMYFUNCTION("""COMPUTED_VALUE"""),0)</f>
        <v>0</v>
      </c>
      <c r="O186" s="50">
        <f t="shared" ca="1" si="1"/>
        <v>0</v>
      </c>
    </row>
    <row r="187" spans="1:15" ht="12.75">
      <c r="A187" s="50" t="str">
        <f ca="1">IFERROR(__xludf.DUMMYFUNCTION("""COMPUTED_VALUE"""),"CD57")</f>
        <v>CD57</v>
      </c>
      <c r="B187" s="77" t="str">
        <f ca="1">IFERROR(__xludf.DUMMYFUNCTION("""COMPUTED_VALUE"""),"06570188")</f>
        <v>06570188</v>
      </c>
      <c r="C187" s="48" t="str">
        <f ca="1">IFERROR(__xludf.DUMMYFUNCTION("""COMPUTED_VALUE"""),"ROUSSY LE VILLAGE TT")</f>
        <v>ROUSSY LE VILLAGE TT</v>
      </c>
      <c r="D187" s="46">
        <f ca="1">IFERROR(__xludf.DUMMYFUNCTION("""COMPUTED_VALUE"""),0)</f>
        <v>0</v>
      </c>
      <c r="E187" s="46">
        <f ca="1">IFERROR(__xludf.DUMMYFUNCTION("""COMPUTED_VALUE"""),0)</f>
        <v>0</v>
      </c>
      <c r="F187" s="46">
        <f ca="1">IFERROR(__xludf.DUMMYFUNCTION("""COMPUTED_VALUE"""),0)</f>
        <v>0</v>
      </c>
      <c r="G187" s="46">
        <f ca="1">IFERROR(__xludf.DUMMYFUNCTION("""COMPUTED_VALUE"""),0)</f>
        <v>0</v>
      </c>
      <c r="H187" s="46">
        <f ca="1">IFERROR(__xludf.DUMMYFUNCTION("""COMPUTED_VALUE"""),0)</f>
        <v>0</v>
      </c>
      <c r="I187" s="46">
        <f ca="1">IFERROR(__xludf.DUMMYFUNCTION("""COMPUTED_VALUE"""),0)</f>
        <v>0</v>
      </c>
      <c r="J187" s="46">
        <f ca="1">IFERROR(__xludf.DUMMYFUNCTION("""COMPUTED_VALUE"""),0)</f>
        <v>0</v>
      </c>
      <c r="K187" s="46">
        <f ca="1">IFERROR(__xludf.DUMMYFUNCTION("""COMPUTED_VALUE"""),0)</f>
        <v>0</v>
      </c>
      <c r="L187" s="46">
        <f ca="1">IFERROR(__xludf.DUMMYFUNCTION("""COMPUTED_VALUE"""),0)</f>
        <v>0</v>
      </c>
      <c r="M187" s="46">
        <f ca="1">IFERROR(__xludf.DUMMYFUNCTION("""COMPUTED_VALUE"""),0)</f>
        <v>0</v>
      </c>
      <c r="N187" s="46">
        <f ca="1">IFERROR(__xludf.DUMMYFUNCTION("""COMPUTED_VALUE"""),0)</f>
        <v>0</v>
      </c>
      <c r="O187" s="50">
        <f t="shared" ca="1" si="1"/>
        <v>0</v>
      </c>
    </row>
    <row r="188" spans="1:15" ht="12.75">
      <c r="A188" s="50" t="str">
        <f ca="1">IFERROR(__xludf.DUMMYFUNCTION("""COMPUTED_VALUE"""),"CD57")</f>
        <v>CD57</v>
      </c>
      <c r="B188" s="77" t="str">
        <f ca="1">IFERROR(__xludf.DUMMYFUNCTION("""COMPUTED_VALUE"""),"06570190")</f>
        <v>06570190</v>
      </c>
      <c r="C188" s="48" t="str">
        <f ca="1">IFERROR(__xludf.DUMMYFUNCTION("""COMPUTED_VALUE"""),"METZ Tennis de Table")</f>
        <v>METZ Tennis de Table</v>
      </c>
      <c r="D188" s="46">
        <f ca="1">IFERROR(__xludf.DUMMYFUNCTION("""COMPUTED_VALUE"""),10)</f>
        <v>10</v>
      </c>
      <c r="E188" s="46">
        <f ca="1">IFERROR(__xludf.DUMMYFUNCTION("""COMPUTED_VALUE"""),0)</f>
        <v>0</v>
      </c>
      <c r="F188" s="46">
        <f ca="1">IFERROR(__xludf.DUMMYFUNCTION("""COMPUTED_VALUE"""),8)</f>
        <v>8</v>
      </c>
      <c r="G188" s="46">
        <f ca="1">IFERROR(__xludf.DUMMYFUNCTION("""COMPUTED_VALUE"""),0)</f>
        <v>0</v>
      </c>
      <c r="H188" s="46">
        <f ca="1">IFERROR(__xludf.DUMMYFUNCTION("""COMPUTED_VALUE"""),0)</f>
        <v>0</v>
      </c>
      <c r="I188" s="46">
        <f ca="1">IFERROR(__xludf.DUMMYFUNCTION("""COMPUTED_VALUE"""),6)</f>
        <v>6</v>
      </c>
      <c r="J188" s="46">
        <f ca="1">IFERROR(__xludf.DUMMYFUNCTION("""COMPUTED_VALUE"""),0)</f>
        <v>0</v>
      </c>
      <c r="K188" s="46">
        <f ca="1">IFERROR(__xludf.DUMMYFUNCTION("""COMPUTED_VALUE"""),0)</f>
        <v>0</v>
      </c>
      <c r="L188" s="46">
        <f ca="1">IFERROR(__xludf.DUMMYFUNCTION("""COMPUTED_VALUE"""),0)</f>
        <v>0</v>
      </c>
      <c r="M188" s="46">
        <f ca="1">IFERROR(__xludf.DUMMYFUNCTION("""COMPUTED_VALUE"""),0)</f>
        <v>0</v>
      </c>
      <c r="N188" s="46">
        <f ca="1">IFERROR(__xludf.DUMMYFUNCTION("""COMPUTED_VALUE"""),0)</f>
        <v>0</v>
      </c>
      <c r="O188" s="50">
        <f t="shared" ca="1" si="1"/>
        <v>24</v>
      </c>
    </row>
    <row r="189" spans="1:15" ht="12.75">
      <c r="A189" s="50" t="str">
        <f ca="1">IFERROR(__xludf.DUMMYFUNCTION("""COMPUTED_VALUE"""),"CD57")</f>
        <v>CD57</v>
      </c>
      <c r="B189" s="77" t="str">
        <f ca="1">IFERROR(__xludf.DUMMYFUNCTION("""COMPUTED_VALUE"""),"06570191")</f>
        <v>06570191</v>
      </c>
      <c r="C189" s="48" t="str">
        <f ca="1">IFERROR(__xludf.DUMMYFUNCTION("""COMPUTED_VALUE"""),"CREUTZWALD Tennis de Table")</f>
        <v>CREUTZWALD Tennis de Table</v>
      </c>
      <c r="D189" s="46">
        <f ca="1">IFERROR(__xludf.DUMMYFUNCTION("""COMPUTED_VALUE"""),0)</f>
        <v>0</v>
      </c>
      <c r="E189" s="46">
        <f ca="1">IFERROR(__xludf.DUMMYFUNCTION("""COMPUTED_VALUE"""),0)</f>
        <v>0</v>
      </c>
      <c r="F189" s="46">
        <f ca="1">IFERROR(__xludf.DUMMYFUNCTION("""COMPUTED_VALUE"""),1)</f>
        <v>1</v>
      </c>
      <c r="G189" s="46">
        <f ca="1">IFERROR(__xludf.DUMMYFUNCTION("""COMPUTED_VALUE"""),0)</f>
        <v>0</v>
      </c>
      <c r="H189" s="46">
        <f ca="1">IFERROR(__xludf.DUMMYFUNCTION("""COMPUTED_VALUE"""),0)</f>
        <v>0</v>
      </c>
      <c r="I189" s="46">
        <f ca="1">IFERROR(__xludf.DUMMYFUNCTION("""COMPUTED_VALUE"""),0)</f>
        <v>0</v>
      </c>
      <c r="J189" s="46">
        <f ca="1">IFERROR(__xludf.DUMMYFUNCTION("""COMPUTED_VALUE"""),0)</f>
        <v>0</v>
      </c>
      <c r="K189" s="46">
        <f ca="1">IFERROR(__xludf.DUMMYFUNCTION("""COMPUTED_VALUE"""),0)</f>
        <v>0</v>
      </c>
      <c r="L189" s="46">
        <f ca="1">IFERROR(__xludf.DUMMYFUNCTION("""COMPUTED_VALUE"""),0)</f>
        <v>0</v>
      </c>
      <c r="M189" s="46">
        <f ca="1">IFERROR(__xludf.DUMMYFUNCTION("""COMPUTED_VALUE"""),0)</f>
        <v>0</v>
      </c>
      <c r="N189" s="46">
        <f ca="1">IFERROR(__xludf.DUMMYFUNCTION("""COMPUTED_VALUE"""),0)</f>
        <v>0</v>
      </c>
      <c r="O189" s="50">
        <f t="shared" ca="1" si="1"/>
        <v>1</v>
      </c>
    </row>
    <row r="190" spans="1:15" ht="12.75">
      <c r="A190" s="50" t="str">
        <f ca="1">IFERROR(__xludf.DUMMYFUNCTION("""COMPUTED_VALUE"""),"CD57")</f>
        <v>CD57</v>
      </c>
      <c r="B190" s="77" t="str">
        <f ca="1">IFERROR(__xludf.DUMMYFUNCTION("""COMPUTED_VALUE"""),"06570193")</f>
        <v>06570193</v>
      </c>
      <c r="C190" s="48" t="str">
        <f ca="1">IFERROR(__xludf.DUMMYFUNCTION("""COMPUTED_VALUE"""),"REMILLY Tennis de Table")</f>
        <v>REMILLY Tennis de Table</v>
      </c>
      <c r="D190" s="46">
        <f ca="1">IFERROR(__xludf.DUMMYFUNCTION("""COMPUTED_VALUE"""),0)</f>
        <v>0</v>
      </c>
      <c r="E190" s="46">
        <f ca="1">IFERROR(__xludf.DUMMYFUNCTION("""COMPUTED_VALUE"""),0)</f>
        <v>0</v>
      </c>
      <c r="F190" s="46">
        <f ca="1">IFERROR(__xludf.DUMMYFUNCTION("""COMPUTED_VALUE"""),1)</f>
        <v>1</v>
      </c>
      <c r="G190" s="46">
        <f ca="1">IFERROR(__xludf.DUMMYFUNCTION("""COMPUTED_VALUE"""),0)</f>
        <v>0</v>
      </c>
      <c r="H190" s="46">
        <f ca="1">IFERROR(__xludf.DUMMYFUNCTION("""COMPUTED_VALUE"""),0)</f>
        <v>0</v>
      </c>
      <c r="I190" s="46">
        <f ca="1">IFERROR(__xludf.DUMMYFUNCTION("""COMPUTED_VALUE"""),1)</f>
        <v>1</v>
      </c>
      <c r="J190" s="46">
        <f ca="1">IFERROR(__xludf.DUMMYFUNCTION("""COMPUTED_VALUE"""),0)</f>
        <v>0</v>
      </c>
      <c r="K190" s="46">
        <f ca="1">IFERROR(__xludf.DUMMYFUNCTION("""COMPUTED_VALUE"""),0)</f>
        <v>0</v>
      </c>
      <c r="L190" s="46">
        <f ca="1">IFERROR(__xludf.DUMMYFUNCTION("""COMPUTED_VALUE"""),0)</f>
        <v>0</v>
      </c>
      <c r="M190" s="46">
        <f ca="1">IFERROR(__xludf.DUMMYFUNCTION("""COMPUTED_VALUE"""),0)</f>
        <v>0</v>
      </c>
      <c r="N190" s="46">
        <f ca="1">IFERROR(__xludf.DUMMYFUNCTION("""COMPUTED_VALUE"""),0)</f>
        <v>0</v>
      </c>
      <c r="O190" s="50">
        <f t="shared" ca="1" si="1"/>
        <v>2</v>
      </c>
    </row>
    <row r="191" spans="1:15" ht="12.75">
      <c r="A191" s="50" t="str">
        <f ca="1">IFERROR(__xludf.DUMMYFUNCTION("""COMPUTED_VALUE"""),"CD57")</f>
        <v>CD57</v>
      </c>
      <c r="B191" s="77" t="str">
        <f ca="1">IFERROR(__xludf.DUMMYFUNCTION("""COMPUTED_VALUE"""),"06570199")</f>
        <v>06570199</v>
      </c>
      <c r="C191" s="48" t="str">
        <f ca="1">IFERROR(__xludf.DUMMYFUNCTION("""COMPUTED_VALUE"""),"PAYS SIERCKOIS SPORTS ET LOISIRS")</f>
        <v>PAYS SIERCKOIS SPORTS ET LOISIRS</v>
      </c>
      <c r="D191" s="46">
        <f ca="1">IFERROR(__xludf.DUMMYFUNCTION("""COMPUTED_VALUE"""),0)</f>
        <v>0</v>
      </c>
      <c r="E191" s="46">
        <f ca="1">IFERROR(__xludf.DUMMYFUNCTION("""COMPUTED_VALUE"""),0)</f>
        <v>0</v>
      </c>
      <c r="F191" s="46">
        <f ca="1">IFERROR(__xludf.DUMMYFUNCTION("""COMPUTED_VALUE"""),0)</f>
        <v>0</v>
      </c>
      <c r="G191" s="46">
        <f ca="1">IFERROR(__xludf.DUMMYFUNCTION("""COMPUTED_VALUE"""),0)</f>
        <v>0</v>
      </c>
      <c r="H191" s="46">
        <f ca="1">IFERROR(__xludf.DUMMYFUNCTION("""COMPUTED_VALUE"""),0)</f>
        <v>0</v>
      </c>
      <c r="I191" s="46">
        <f ca="1">IFERROR(__xludf.DUMMYFUNCTION("""COMPUTED_VALUE"""),0)</f>
        <v>0</v>
      </c>
      <c r="J191" s="46">
        <f ca="1">IFERROR(__xludf.DUMMYFUNCTION("""COMPUTED_VALUE"""),0)</f>
        <v>0</v>
      </c>
      <c r="K191" s="46">
        <f ca="1">IFERROR(__xludf.DUMMYFUNCTION("""COMPUTED_VALUE"""),0)</f>
        <v>0</v>
      </c>
      <c r="L191" s="46">
        <f ca="1">IFERROR(__xludf.DUMMYFUNCTION("""COMPUTED_VALUE"""),0)</f>
        <v>0</v>
      </c>
      <c r="M191" s="46">
        <f ca="1">IFERROR(__xludf.DUMMYFUNCTION("""COMPUTED_VALUE"""),0)</f>
        <v>0</v>
      </c>
      <c r="N191" s="46">
        <f ca="1">IFERROR(__xludf.DUMMYFUNCTION("""COMPUTED_VALUE"""),0)</f>
        <v>0</v>
      </c>
      <c r="O191" s="50">
        <f t="shared" ca="1" si="1"/>
        <v>0</v>
      </c>
    </row>
    <row r="192" spans="1:15" ht="12.75">
      <c r="A192" s="50" t="str">
        <f ca="1">IFERROR(__xludf.DUMMYFUNCTION("""COMPUTED_VALUE"""),"CD57")</f>
        <v>CD57</v>
      </c>
      <c r="B192" s="77" t="str">
        <f ca="1">IFERROR(__xludf.DUMMYFUNCTION("""COMPUTED_VALUE"""),"06570201")</f>
        <v>06570201</v>
      </c>
      <c r="C192" s="48" t="str">
        <f ca="1">IFERROR(__xludf.DUMMYFUNCTION("""COMPUTED_VALUE"""),"SAINT JULIEN LES METZ TT")</f>
        <v>SAINT JULIEN LES METZ TT</v>
      </c>
      <c r="D192" s="46">
        <f ca="1">IFERROR(__xludf.DUMMYFUNCTION("""COMPUTED_VALUE"""),0)</f>
        <v>0</v>
      </c>
      <c r="E192" s="46">
        <f ca="1">IFERROR(__xludf.DUMMYFUNCTION("""COMPUTED_VALUE"""),0)</f>
        <v>0</v>
      </c>
      <c r="F192" s="46">
        <f ca="1">IFERROR(__xludf.DUMMYFUNCTION("""COMPUTED_VALUE"""),2)</f>
        <v>2</v>
      </c>
      <c r="G192" s="46">
        <f ca="1">IFERROR(__xludf.DUMMYFUNCTION("""COMPUTED_VALUE"""),0)</f>
        <v>0</v>
      </c>
      <c r="H192" s="46">
        <f ca="1">IFERROR(__xludf.DUMMYFUNCTION("""COMPUTED_VALUE"""),0)</f>
        <v>0</v>
      </c>
      <c r="I192" s="46">
        <f ca="1">IFERROR(__xludf.DUMMYFUNCTION("""COMPUTED_VALUE"""),2)</f>
        <v>2</v>
      </c>
      <c r="J192" s="46">
        <f ca="1">IFERROR(__xludf.DUMMYFUNCTION("""COMPUTED_VALUE"""),0)</f>
        <v>0</v>
      </c>
      <c r="K192" s="46">
        <f ca="1">IFERROR(__xludf.DUMMYFUNCTION("""COMPUTED_VALUE"""),0)</f>
        <v>0</v>
      </c>
      <c r="L192" s="46">
        <f ca="1">IFERROR(__xludf.DUMMYFUNCTION("""COMPUTED_VALUE"""),0)</f>
        <v>0</v>
      </c>
      <c r="M192" s="46">
        <f ca="1">IFERROR(__xludf.DUMMYFUNCTION("""COMPUTED_VALUE"""),0)</f>
        <v>0</v>
      </c>
      <c r="N192" s="46">
        <f ca="1">IFERROR(__xludf.DUMMYFUNCTION("""COMPUTED_VALUE"""),0)</f>
        <v>0</v>
      </c>
      <c r="O192" s="50">
        <f t="shared" ca="1" si="1"/>
        <v>4</v>
      </c>
    </row>
    <row r="193" spans="1:15" ht="12.75">
      <c r="A193" s="50" t="str">
        <f ca="1">IFERROR(__xludf.DUMMYFUNCTION("""COMPUTED_VALUE"""),"CD57")</f>
        <v>CD57</v>
      </c>
      <c r="B193" s="77" t="str">
        <f ca="1">IFERROR(__xludf.DUMMYFUNCTION("""COMPUTED_VALUE"""),"06570202")</f>
        <v>06570202</v>
      </c>
      <c r="C193" s="48" t="str">
        <f ca="1">IFERROR(__xludf.DUMMYFUNCTION("""COMPUTED_VALUE"""),"NIDERVILLER Eden Pongiste")</f>
        <v>NIDERVILLER Eden Pongiste</v>
      </c>
      <c r="D193" s="46">
        <f ca="1">IFERROR(__xludf.DUMMYFUNCTION("""COMPUTED_VALUE"""),0)</f>
        <v>0</v>
      </c>
      <c r="E193" s="46">
        <f ca="1">IFERROR(__xludf.DUMMYFUNCTION("""COMPUTED_VALUE"""),0)</f>
        <v>0</v>
      </c>
      <c r="F193" s="46">
        <f ca="1">IFERROR(__xludf.DUMMYFUNCTION("""COMPUTED_VALUE"""),2)</f>
        <v>2</v>
      </c>
      <c r="G193" s="46">
        <f ca="1">IFERROR(__xludf.DUMMYFUNCTION("""COMPUTED_VALUE"""),0)</f>
        <v>0</v>
      </c>
      <c r="H193" s="46">
        <f ca="1">IFERROR(__xludf.DUMMYFUNCTION("""COMPUTED_VALUE"""),0)</f>
        <v>0</v>
      </c>
      <c r="I193" s="46">
        <f ca="1">IFERROR(__xludf.DUMMYFUNCTION("""COMPUTED_VALUE"""),2)</f>
        <v>2</v>
      </c>
      <c r="J193" s="46">
        <f ca="1">IFERROR(__xludf.DUMMYFUNCTION("""COMPUTED_VALUE"""),0)</f>
        <v>0</v>
      </c>
      <c r="K193" s="46">
        <f ca="1">IFERROR(__xludf.DUMMYFUNCTION("""COMPUTED_VALUE"""),0)</f>
        <v>0</v>
      </c>
      <c r="L193" s="46">
        <f ca="1">IFERROR(__xludf.DUMMYFUNCTION("""COMPUTED_VALUE"""),0)</f>
        <v>0</v>
      </c>
      <c r="M193" s="46">
        <f ca="1">IFERROR(__xludf.DUMMYFUNCTION("""COMPUTED_VALUE"""),0)</f>
        <v>0</v>
      </c>
      <c r="N193" s="46">
        <f ca="1">IFERROR(__xludf.DUMMYFUNCTION("""COMPUTED_VALUE"""),0)</f>
        <v>0</v>
      </c>
      <c r="O193" s="50">
        <f t="shared" ca="1" si="1"/>
        <v>4</v>
      </c>
    </row>
    <row r="194" spans="1:15" ht="12.75">
      <c r="A194" s="50" t="str">
        <f ca="1">IFERROR(__xludf.DUMMYFUNCTION("""COMPUTED_VALUE"""),"CD67")</f>
        <v>CD67</v>
      </c>
      <c r="B194" s="77" t="str">
        <f ca="1">IFERROR(__xludf.DUMMYFUNCTION("""COMPUTED_VALUE"""),"06670002")</f>
        <v>06670002</v>
      </c>
      <c r="C194" s="48" t="str">
        <f ca="1">IFERROR(__xludf.DUMMYFUNCTION("""COMPUTED_VALUE"""),"STRASBOURG ST JEAN CS 1852")</f>
        <v>STRASBOURG ST JEAN CS 1852</v>
      </c>
      <c r="D194" s="46">
        <f ca="1">IFERROR(__xludf.DUMMYFUNCTION("""COMPUTED_VALUE"""),5)</f>
        <v>5</v>
      </c>
      <c r="E194" s="46">
        <f ca="1">IFERROR(__xludf.DUMMYFUNCTION("""COMPUTED_VALUE"""),0)</f>
        <v>0</v>
      </c>
      <c r="F194" s="46">
        <f ca="1">IFERROR(__xludf.DUMMYFUNCTION("""COMPUTED_VALUE"""),3)</f>
        <v>3</v>
      </c>
      <c r="G194" s="46">
        <f ca="1">IFERROR(__xludf.DUMMYFUNCTION("""COMPUTED_VALUE"""),0)</f>
        <v>0</v>
      </c>
      <c r="H194" s="46">
        <f ca="1">IFERROR(__xludf.DUMMYFUNCTION("""COMPUTED_VALUE"""),0)</f>
        <v>0</v>
      </c>
      <c r="I194" s="46">
        <f ca="1">IFERROR(__xludf.DUMMYFUNCTION("""COMPUTED_VALUE"""),3)</f>
        <v>3</v>
      </c>
      <c r="J194" s="46">
        <f ca="1">IFERROR(__xludf.DUMMYFUNCTION("""COMPUTED_VALUE"""),0)</f>
        <v>0</v>
      </c>
      <c r="K194" s="46">
        <f ca="1">IFERROR(__xludf.DUMMYFUNCTION("""COMPUTED_VALUE"""),0)</f>
        <v>0</v>
      </c>
      <c r="L194" s="46">
        <f ca="1">IFERROR(__xludf.DUMMYFUNCTION("""COMPUTED_VALUE"""),0)</f>
        <v>0</v>
      </c>
      <c r="M194" s="46">
        <f ca="1">IFERROR(__xludf.DUMMYFUNCTION("""COMPUTED_VALUE"""),0)</f>
        <v>0</v>
      </c>
      <c r="N194" s="46">
        <f ca="1">IFERROR(__xludf.DUMMYFUNCTION("""COMPUTED_VALUE"""),0)</f>
        <v>0</v>
      </c>
      <c r="O194" s="50">
        <f t="shared" ca="1" si="1"/>
        <v>11</v>
      </c>
    </row>
    <row r="195" spans="1:15" ht="12.75">
      <c r="A195" s="50" t="str">
        <f ca="1">IFERROR(__xludf.DUMMYFUNCTION("""COMPUTED_VALUE"""),"CD67")</f>
        <v>CD67</v>
      </c>
      <c r="B195" s="77" t="str">
        <f ca="1">IFERROR(__xludf.DUMMYFUNCTION("""COMPUTED_VALUE"""),"06670003")</f>
        <v>06670003</v>
      </c>
      <c r="C195" s="48" t="str">
        <f ca="1">IFERROR(__xludf.DUMMYFUNCTION("""COMPUTED_VALUE"""),"ECKBOLSHEIM")</f>
        <v>ECKBOLSHEIM</v>
      </c>
      <c r="D195" s="46">
        <f ca="1">IFERROR(__xludf.DUMMYFUNCTION("""COMPUTED_VALUE"""),0)</f>
        <v>0</v>
      </c>
      <c r="E195" s="46">
        <f ca="1">IFERROR(__xludf.DUMMYFUNCTION("""COMPUTED_VALUE"""),0)</f>
        <v>0</v>
      </c>
      <c r="F195" s="46">
        <f ca="1">IFERROR(__xludf.DUMMYFUNCTION("""COMPUTED_VALUE"""),1)</f>
        <v>1</v>
      </c>
      <c r="G195" s="46">
        <f ca="1">IFERROR(__xludf.DUMMYFUNCTION("""COMPUTED_VALUE"""),0)</f>
        <v>0</v>
      </c>
      <c r="H195" s="46">
        <f ca="1">IFERROR(__xludf.DUMMYFUNCTION("""COMPUTED_VALUE"""),0)</f>
        <v>0</v>
      </c>
      <c r="I195" s="46">
        <f ca="1">IFERROR(__xludf.DUMMYFUNCTION("""COMPUTED_VALUE"""),0)</f>
        <v>0</v>
      </c>
      <c r="J195" s="46">
        <f ca="1">IFERROR(__xludf.DUMMYFUNCTION("""COMPUTED_VALUE"""),0)</f>
        <v>0</v>
      </c>
      <c r="K195" s="46">
        <f ca="1">IFERROR(__xludf.DUMMYFUNCTION("""COMPUTED_VALUE"""),0)</f>
        <v>0</v>
      </c>
      <c r="L195" s="46">
        <f ca="1">IFERROR(__xludf.DUMMYFUNCTION("""COMPUTED_VALUE"""),0)</f>
        <v>0</v>
      </c>
      <c r="M195" s="46">
        <f ca="1">IFERROR(__xludf.DUMMYFUNCTION("""COMPUTED_VALUE"""),0)</f>
        <v>0</v>
      </c>
      <c r="N195" s="46">
        <f ca="1">IFERROR(__xludf.DUMMYFUNCTION("""COMPUTED_VALUE"""),0)</f>
        <v>0</v>
      </c>
      <c r="O195" s="50">
        <f t="shared" ca="1" si="1"/>
        <v>1</v>
      </c>
    </row>
    <row r="196" spans="1:15" ht="12.75">
      <c r="A196" s="50" t="str">
        <f ca="1">IFERROR(__xludf.DUMMYFUNCTION("""COMPUTED_VALUE"""),"CD67")</f>
        <v>CD67</v>
      </c>
      <c r="B196" s="77" t="str">
        <f ca="1">IFERROR(__xludf.DUMMYFUNCTION("""COMPUTED_VALUE"""),"06670010")</f>
        <v>06670010</v>
      </c>
      <c r="C196" s="48" t="str">
        <f ca="1">IFERROR(__xludf.DUMMYFUNCTION("""COMPUTED_VALUE"""),"SCHILTIGHEIM SU TT")</f>
        <v>SCHILTIGHEIM SU TT</v>
      </c>
      <c r="D196" s="46">
        <f ca="1">IFERROR(__xludf.DUMMYFUNCTION("""COMPUTED_VALUE"""),4)</f>
        <v>4</v>
      </c>
      <c r="E196" s="46">
        <f ca="1">IFERROR(__xludf.DUMMYFUNCTION("""COMPUTED_VALUE"""),0)</f>
        <v>0</v>
      </c>
      <c r="F196" s="46">
        <f ca="1">IFERROR(__xludf.DUMMYFUNCTION("""COMPUTED_VALUE"""),3)</f>
        <v>3</v>
      </c>
      <c r="G196" s="46">
        <f ca="1">IFERROR(__xludf.DUMMYFUNCTION("""COMPUTED_VALUE"""),0)</f>
        <v>0</v>
      </c>
      <c r="H196" s="46">
        <f ca="1">IFERROR(__xludf.DUMMYFUNCTION("""COMPUTED_VALUE"""),0)</f>
        <v>0</v>
      </c>
      <c r="I196" s="46">
        <f ca="1">IFERROR(__xludf.DUMMYFUNCTION("""COMPUTED_VALUE"""),2)</f>
        <v>2</v>
      </c>
      <c r="J196" s="46">
        <f ca="1">IFERROR(__xludf.DUMMYFUNCTION("""COMPUTED_VALUE"""),0)</f>
        <v>0</v>
      </c>
      <c r="K196" s="46">
        <f ca="1">IFERROR(__xludf.DUMMYFUNCTION("""COMPUTED_VALUE"""),0)</f>
        <v>0</v>
      </c>
      <c r="L196" s="46">
        <f ca="1">IFERROR(__xludf.DUMMYFUNCTION("""COMPUTED_VALUE"""),0)</f>
        <v>0</v>
      </c>
      <c r="M196" s="46">
        <f ca="1">IFERROR(__xludf.DUMMYFUNCTION("""COMPUTED_VALUE"""),0)</f>
        <v>0</v>
      </c>
      <c r="N196" s="46">
        <f ca="1">IFERROR(__xludf.DUMMYFUNCTION("""COMPUTED_VALUE"""),0)</f>
        <v>0</v>
      </c>
      <c r="O196" s="50">
        <f t="shared" ca="1" si="1"/>
        <v>9</v>
      </c>
    </row>
    <row r="197" spans="1:15" ht="12.75">
      <c r="A197" s="50" t="str">
        <f ca="1">IFERROR(__xludf.DUMMYFUNCTION("""COMPUTED_VALUE"""),"CD67")</f>
        <v>CD67</v>
      </c>
      <c r="B197" s="77" t="str">
        <f ca="1">IFERROR(__xludf.DUMMYFUNCTION("""COMPUTED_VALUE"""),"06670011")</f>
        <v>06670011</v>
      </c>
      <c r="C197" s="48" t="str">
        <f ca="1">IFERROR(__xludf.DUMMYFUNCTION("""COMPUTED_VALUE"""),"STRASBOURG CHEMINOTS ASCS")</f>
        <v>STRASBOURG CHEMINOTS ASCS</v>
      </c>
      <c r="D197" s="46">
        <f ca="1">IFERROR(__xludf.DUMMYFUNCTION("""COMPUTED_VALUE"""),0)</f>
        <v>0</v>
      </c>
      <c r="E197" s="46">
        <f ca="1">IFERROR(__xludf.DUMMYFUNCTION("""COMPUTED_VALUE"""),0)</f>
        <v>0</v>
      </c>
      <c r="F197" s="46">
        <f ca="1">IFERROR(__xludf.DUMMYFUNCTION("""COMPUTED_VALUE"""),0)</f>
        <v>0</v>
      </c>
      <c r="G197" s="46">
        <f ca="1">IFERROR(__xludf.DUMMYFUNCTION("""COMPUTED_VALUE"""),0)</f>
        <v>0</v>
      </c>
      <c r="H197" s="46">
        <f ca="1">IFERROR(__xludf.DUMMYFUNCTION("""COMPUTED_VALUE"""),0)</f>
        <v>0</v>
      </c>
      <c r="I197" s="46">
        <f ca="1">IFERROR(__xludf.DUMMYFUNCTION("""COMPUTED_VALUE"""),0)</f>
        <v>0</v>
      </c>
      <c r="J197" s="46">
        <f ca="1">IFERROR(__xludf.DUMMYFUNCTION("""COMPUTED_VALUE"""),0)</f>
        <v>0</v>
      </c>
      <c r="K197" s="46">
        <f ca="1">IFERROR(__xludf.DUMMYFUNCTION("""COMPUTED_VALUE"""),0)</f>
        <v>0</v>
      </c>
      <c r="L197" s="46">
        <f ca="1">IFERROR(__xludf.DUMMYFUNCTION("""COMPUTED_VALUE"""),0)</f>
        <v>0</v>
      </c>
      <c r="M197" s="46">
        <f ca="1">IFERROR(__xludf.DUMMYFUNCTION("""COMPUTED_VALUE"""),0)</f>
        <v>0</v>
      </c>
      <c r="N197" s="46">
        <f ca="1">IFERROR(__xludf.DUMMYFUNCTION("""COMPUTED_VALUE"""),0)</f>
        <v>0</v>
      </c>
      <c r="O197" s="50">
        <f t="shared" ca="1" si="1"/>
        <v>0</v>
      </c>
    </row>
    <row r="198" spans="1:15" ht="12.75">
      <c r="A198" s="50" t="str">
        <f ca="1">IFERROR(__xludf.DUMMYFUNCTION("""COMPUTED_VALUE"""),"CD67")</f>
        <v>CD67</v>
      </c>
      <c r="B198" s="77" t="str">
        <f ca="1">IFERROR(__xludf.DUMMYFUNCTION("""COMPUTED_VALUE"""),"06670014")</f>
        <v>06670014</v>
      </c>
      <c r="C198" s="48" t="str">
        <f ca="1">IFERROR(__xludf.DUMMYFUNCTION("""COMPUTED_VALUE"""),"ILLKIRCH GRAFFENSTADEN AP")</f>
        <v>ILLKIRCH GRAFFENSTADEN AP</v>
      </c>
      <c r="D198" s="46">
        <f ca="1">IFERROR(__xludf.DUMMYFUNCTION("""COMPUTED_VALUE"""),0)</f>
        <v>0</v>
      </c>
      <c r="E198" s="46">
        <f ca="1">IFERROR(__xludf.DUMMYFUNCTION("""COMPUTED_VALUE"""),0)</f>
        <v>0</v>
      </c>
      <c r="F198" s="46">
        <f ca="1">IFERROR(__xludf.DUMMYFUNCTION("""COMPUTED_VALUE"""),3)</f>
        <v>3</v>
      </c>
      <c r="G198" s="46">
        <f ca="1">IFERROR(__xludf.DUMMYFUNCTION("""COMPUTED_VALUE"""),0)</f>
        <v>0</v>
      </c>
      <c r="H198" s="46">
        <f ca="1">IFERROR(__xludf.DUMMYFUNCTION("""COMPUTED_VALUE"""),0)</f>
        <v>0</v>
      </c>
      <c r="I198" s="46">
        <f ca="1">IFERROR(__xludf.DUMMYFUNCTION("""COMPUTED_VALUE"""),0)</f>
        <v>0</v>
      </c>
      <c r="J198" s="46">
        <f ca="1">IFERROR(__xludf.DUMMYFUNCTION("""COMPUTED_VALUE"""),1)</f>
        <v>1</v>
      </c>
      <c r="K198" s="46">
        <f ca="1">IFERROR(__xludf.DUMMYFUNCTION("""COMPUTED_VALUE"""),1)</f>
        <v>1</v>
      </c>
      <c r="L198" s="46">
        <f ca="1">IFERROR(__xludf.DUMMYFUNCTION("""COMPUTED_VALUE"""),0)</f>
        <v>0</v>
      </c>
      <c r="M198" s="46">
        <f ca="1">IFERROR(__xludf.DUMMYFUNCTION("""COMPUTED_VALUE"""),0)</f>
        <v>0</v>
      </c>
      <c r="N198" s="46">
        <f ca="1">IFERROR(__xludf.DUMMYFUNCTION("""COMPUTED_VALUE"""),0)</f>
        <v>0</v>
      </c>
      <c r="O198" s="50">
        <f t="shared" ca="1" si="1"/>
        <v>5</v>
      </c>
    </row>
    <row r="199" spans="1:15" ht="12.75">
      <c r="A199" s="50" t="str">
        <f ca="1">IFERROR(__xludf.DUMMYFUNCTION("""COMPUTED_VALUE"""),"CD67")</f>
        <v>CD67</v>
      </c>
      <c r="B199" s="77" t="str">
        <f ca="1">IFERROR(__xludf.DUMMYFUNCTION("""COMPUTED_VALUE"""),"06670027")</f>
        <v>06670027</v>
      </c>
      <c r="C199" s="48" t="str">
        <f ca="1">IFERROR(__xludf.DUMMYFUNCTION("""COMPUTED_VALUE"""),"ROSHEIM CA")</f>
        <v>ROSHEIM CA</v>
      </c>
      <c r="D199" s="46">
        <f ca="1">IFERROR(__xludf.DUMMYFUNCTION("""COMPUTED_VALUE"""),1)</f>
        <v>1</v>
      </c>
      <c r="E199" s="46">
        <f ca="1">IFERROR(__xludf.DUMMYFUNCTION("""COMPUTED_VALUE"""),0)</f>
        <v>0</v>
      </c>
      <c r="F199" s="46">
        <f ca="1">IFERROR(__xludf.DUMMYFUNCTION("""COMPUTED_VALUE"""),3)</f>
        <v>3</v>
      </c>
      <c r="G199" s="46">
        <f ca="1">IFERROR(__xludf.DUMMYFUNCTION("""COMPUTED_VALUE"""),0)</f>
        <v>0</v>
      </c>
      <c r="H199" s="46">
        <f ca="1">IFERROR(__xludf.DUMMYFUNCTION("""COMPUTED_VALUE"""),0)</f>
        <v>0</v>
      </c>
      <c r="I199" s="46">
        <f ca="1">IFERROR(__xludf.DUMMYFUNCTION("""COMPUTED_VALUE"""),3)</f>
        <v>3</v>
      </c>
      <c r="J199" s="46">
        <f ca="1">IFERROR(__xludf.DUMMYFUNCTION("""COMPUTED_VALUE"""),0)</f>
        <v>0</v>
      </c>
      <c r="K199" s="46">
        <f ca="1">IFERROR(__xludf.DUMMYFUNCTION("""COMPUTED_VALUE"""),0)</f>
        <v>0</v>
      </c>
      <c r="L199" s="46">
        <f ca="1">IFERROR(__xludf.DUMMYFUNCTION("""COMPUTED_VALUE"""),0)</f>
        <v>0</v>
      </c>
      <c r="M199" s="46">
        <f ca="1">IFERROR(__xludf.DUMMYFUNCTION("""COMPUTED_VALUE"""),0)</f>
        <v>0</v>
      </c>
      <c r="N199" s="46">
        <f ca="1">IFERROR(__xludf.DUMMYFUNCTION("""COMPUTED_VALUE"""),0)</f>
        <v>0</v>
      </c>
      <c r="O199" s="50">
        <f t="shared" ca="1" si="1"/>
        <v>7</v>
      </c>
    </row>
    <row r="200" spans="1:15" ht="12.75">
      <c r="A200" s="50" t="str">
        <f ca="1">IFERROR(__xludf.DUMMYFUNCTION("""COMPUTED_VALUE"""),"CD67")</f>
        <v>CD67</v>
      </c>
      <c r="B200" s="77" t="str">
        <f ca="1">IFERROR(__xludf.DUMMYFUNCTION("""COMPUTED_VALUE"""),"06670041")</f>
        <v>06670041</v>
      </c>
      <c r="C200" s="48" t="str">
        <f ca="1">IFERROR(__xludf.DUMMYFUNCTION("""COMPUTED_VALUE"""),"ZORN TT HOCHFELDEN")</f>
        <v>ZORN TT HOCHFELDEN</v>
      </c>
      <c r="D200" s="46">
        <f ca="1">IFERROR(__xludf.DUMMYFUNCTION("""COMPUTED_VALUE"""),1)</f>
        <v>1</v>
      </c>
      <c r="E200" s="46">
        <f ca="1">IFERROR(__xludf.DUMMYFUNCTION("""COMPUTED_VALUE"""),0)</f>
        <v>0</v>
      </c>
      <c r="F200" s="46">
        <f ca="1">IFERROR(__xludf.DUMMYFUNCTION("""COMPUTED_VALUE"""),2)</f>
        <v>2</v>
      </c>
      <c r="G200" s="46">
        <f ca="1">IFERROR(__xludf.DUMMYFUNCTION("""COMPUTED_VALUE"""),0)</f>
        <v>0</v>
      </c>
      <c r="H200" s="46">
        <f ca="1">IFERROR(__xludf.DUMMYFUNCTION("""COMPUTED_VALUE"""),0)</f>
        <v>0</v>
      </c>
      <c r="I200" s="46">
        <f ca="1">IFERROR(__xludf.DUMMYFUNCTION("""COMPUTED_VALUE"""),1)</f>
        <v>1</v>
      </c>
      <c r="J200" s="46">
        <f ca="1">IFERROR(__xludf.DUMMYFUNCTION("""COMPUTED_VALUE"""),1)</f>
        <v>1</v>
      </c>
      <c r="K200" s="46">
        <f ca="1">IFERROR(__xludf.DUMMYFUNCTION("""COMPUTED_VALUE"""),0)</f>
        <v>0</v>
      </c>
      <c r="L200" s="46">
        <f ca="1">IFERROR(__xludf.DUMMYFUNCTION("""COMPUTED_VALUE"""),0)</f>
        <v>0</v>
      </c>
      <c r="M200" s="46">
        <f ca="1">IFERROR(__xludf.DUMMYFUNCTION("""COMPUTED_VALUE"""),0)</f>
        <v>0</v>
      </c>
      <c r="N200" s="46">
        <f ca="1">IFERROR(__xludf.DUMMYFUNCTION("""COMPUTED_VALUE"""),0)</f>
        <v>0</v>
      </c>
      <c r="O200" s="50">
        <f t="shared" ca="1" si="1"/>
        <v>5</v>
      </c>
    </row>
    <row r="201" spans="1:15" ht="12.75">
      <c r="A201" s="50" t="str">
        <f ca="1">IFERROR(__xludf.DUMMYFUNCTION("""COMPUTED_VALUE"""),"CD67")</f>
        <v>CD67</v>
      </c>
      <c r="B201" s="77" t="str">
        <f ca="1">IFERROR(__xludf.DUMMYFUNCTION("""COMPUTED_VALUE"""),"06670043")</f>
        <v>06670043</v>
      </c>
      <c r="C201" s="48" t="str">
        <f ca="1">IFERROR(__xludf.DUMMYFUNCTION("""COMPUTED_VALUE"""),"BRUMATH UNITAS Tennis de Table")</f>
        <v>BRUMATH UNITAS Tennis de Table</v>
      </c>
      <c r="D201" s="46">
        <f ca="1">IFERROR(__xludf.DUMMYFUNCTION("""COMPUTED_VALUE"""),1)</f>
        <v>1</v>
      </c>
      <c r="E201" s="46">
        <f ca="1">IFERROR(__xludf.DUMMYFUNCTION("""COMPUTED_VALUE"""),0)</f>
        <v>0</v>
      </c>
      <c r="F201" s="46">
        <f ca="1">IFERROR(__xludf.DUMMYFUNCTION("""COMPUTED_VALUE"""),2)</f>
        <v>2</v>
      </c>
      <c r="G201" s="46">
        <f ca="1">IFERROR(__xludf.DUMMYFUNCTION("""COMPUTED_VALUE"""),0)</f>
        <v>0</v>
      </c>
      <c r="H201" s="46">
        <f ca="1">IFERROR(__xludf.DUMMYFUNCTION("""COMPUTED_VALUE"""),0)</f>
        <v>0</v>
      </c>
      <c r="I201" s="46">
        <f ca="1">IFERROR(__xludf.DUMMYFUNCTION("""COMPUTED_VALUE"""),2)</f>
        <v>2</v>
      </c>
      <c r="J201" s="46">
        <f ca="1">IFERROR(__xludf.DUMMYFUNCTION("""COMPUTED_VALUE"""),0)</f>
        <v>0</v>
      </c>
      <c r="K201" s="46">
        <f ca="1">IFERROR(__xludf.DUMMYFUNCTION("""COMPUTED_VALUE"""),0)</f>
        <v>0</v>
      </c>
      <c r="L201" s="46">
        <f ca="1">IFERROR(__xludf.DUMMYFUNCTION("""COMPUTED_VALUE"""),0)</f>
        <v>0</v>
      </c>
      <c r="M201" s="46">
        <f ca="1">IFERROR(__xludf.DUMMYFUNCTION("""COMPUTED_VALUE"""),0)</f>
        <v>0</v>
      </c>
      <c r="N201" s="46">
        <f ca="1">IFERROR(__xludf.DUMMYFUNCTION("""COMPUTED_VALUE"""),0)</f>
        <v>0</v>
      </c>
      <c r="O201" s="50">
        <f t="shared" ca="1" si="1"/>
        <v>5</v>
      </c>
    </row>
    <row r="202" spans="1:15" ht="12.75">
      <c r="A202" s="50" t="str">
        <f ca="1">IFERROR(__xludf.DUMMYFUNCTION("""COMPUTED_VALUE"""),"CD67")</f>
        <v>CD67</v>
      </c>
      <c r="B202" s="77" t="str">
        <f ca="1">IFERROR(__xludf.DUMMYFUNCTION("""COMPUTED_VALUE"""),"06670045")</f>
        <v>06670045</v>
      </c>
      <c r="C202" s="48" t="str">
        <f ca="1">IFERROR(__xludf.DUMMYFUNCTION("""COMPUTED_VALUE"""),"STRASBOURG RC")</f>
        <v>STRASBOURG RC</v>
      </c>
      <c r="D202" s="46">
        <f ca="1">IFERROR(__xludf.DUMMYFUNCTION("""COMPUTED_VALUE"""),4)</f>
        <v>4</v>
      </c>
      <c r="E202" s="46">
        <f ca="1">IFERROR(__xludf.DUMMYFUNCTION("""COMPUTED_VALUE"""),0)</f>
        <v>0</v>
      </c>
      <c r="F202" s="46">
        <f ca="1">IFERROR(__xludf.DUMMYFUNCTION("""COMPUTED_VALUE"""),12)</f>
        <v>12</v>
      </c>
      <c r="G202" s="46">
        <f ca="1">IFERROR(__xludf.DUMMYFUNCTION("""COMPUTED_VALUE"""),0)</f>
        <v>0</v>
      </c>
      <c r="H202" s="46">
        <f ca="1">IFERROR(__xludf.DUMMYFUNCTION("""COMPUTED_VALUE"""),0)</f>
        <v>0</v>
      </c>
      <c r="I202" s="46">
        <f ca="1">IFERROR(__xludf.DUMMYFUNCTION("""COMPUTED_VALUE"""),6)</f>
        <v>6</v>
      </c>
      <c r="J202" s="46">
        <f ca="1">IFERROR(__xludf.DUMMYFUNCTION("""COMPUTED_VALUE"""),2)</f>
        <v>2</v>
      </c>
      <c r="K202" s="46">
        <f ca="1">IFERROR(__xludf.DUMMYFUNCTION("""COMPUTED_VALUE"""),0)</f>
        <v>0</v>
      </c>
      <c r="L202" s="46">
        <f ca="1">IFERROR(__xludf.DUMMYFUNCTION("""COMPUTED_VALUE"""),0)</f>
        <v>0</v>
      </c>
      <c r="M202" s="46">
        <f ca="1">IFERROR(__xludf.DUMMYFUNCTION("""COMPUTED_VALUE"""),0)</f>
        <v>0</v>
      </c>
      <c r="N202" s="46">
        <f ca="1">IFERROR(__xludf.DUMMYFUNCTION("""COMPUTED_VALUE"""),0)</f>
        <v>0</v>
      </c>
      <c r="O202" s="50">
        <f t="shared" ca="1" si="1"/>
        <v>24</v>
      </c>
    </row>
    <row r="203" spans="1:15" ht="12.75">
      <c r="A203" s="139" t="str">
        <f ca="1">IFERROR(__xludf.DUMMYFUNCTION("""COMPUTED_VALUE"""),"CD67")</f>
        <v>CD67</v>
      </c>
      <c r="B203" s="141" t="str">
        <f ca="1">IFERROR(__xludf.DUMMYFUNCTION("""COMPUTED_VALUE"""),"06670058")</f>
        <v>06670058</v>
      </c>
      <c r="C203" s="137" t="str">
        <f ca="1">IFERROR(__xludf.DUMMYFUNCTION("""COMPUTED_VALUE"""),"BENFELD LAURENTIA S.S.C.")</f>
        <v>BENFELD LAURENTIA S.S.C.</v>
      </c>
      <c r="D203" s="140">
        <f ca="1">IFERROR(__xludf.DUMMYFUNCTION("""COMPUTED_VALUE"""),0)</f>
        <v>0</v>
      </c>
      <c r="E203" s="140">
        <f ca="1">IFERROR(__xludf.DUMMYFUNCTION("""COMPUTED_VALUE"""),0)</f>
        <v>0</v>
      </c>
      <c r="F203" s="140">
        <f ca="1">IFERROR(__xludf.DUMMYFUNCTION("""COMPUTED_VALUE"""),3)</f>
        <v>3</v>
      </c>
      <c r="G203" s="140">
        <f ca="1">IFERROR(__xludf.DUMMYFUNCTION("""COMPUTED_VALUE"""),0)</f>
        <v>0</v>
      </c>
      <c r="H203" s="140">
        <f ca="1">IFERROR(__xludf.DUMMYFUNCTION("""COMPUTED_VALUE"""),0)</f>
        <v>0</v>
      </c>
      <c r="I203" s="140">
        <f ca="1">IFERROR(__xludf.DUMMYFUNCTION("""COMPUTED_VALUE"""),3)</f>
        <v>3</v>
      </c>
      <c r="J203" s="140">
        <f ca="1">IFERROR(__xludf.DUMMYFUNCTION("""COMPUTED_VALUE"""),0)</f>
        <v>0</v>
      </c>
      <c r="K203" s="140">
        <f ca="1">IFERROR(__xludf.DUMMYFUNCTION("""COMPUTED_VALUE"""),0)</f>
        <v>0</v>
      </c>
      <c r="L203" s="140">
        <f ca="1">IFERROR(__xludf.DUMMYFUNCTION("""COMPUTED_VALUE"""),0)</f>
        <v>0</v>
      </c>
      <c r="M203" s="140">
        <f ca="1">IFERROR(__xludf.DUMMYFUNCTION("""COMPUTED_VALUE"""),0)</f>
        <v>0</v>
      </c>
      <c r="N203" s="140">
        <f ca="1">IFERROR(__xludf.DUMMYFUNCTION("""COMPUTED_VALUE"""),0)</f>
        <v>0</v>
      </c>
      <c r="O203" s="139">
        <f t="shared" ca="1" si="1"/>
        <v>6</v>
      </c>
    </row>
    <row r="204" spans="1:15" ht="12.75">
      <c r="A204" s="50" t="str">
        <f ca="1">IFERROR(__xludf.DUMMYFUNCTION("""COMPUTED_VALUE"""),"CD67")</f>
        <v>CD67</v>
      </c>
      <c r="B204" s="77" t="str">
        <f ca="1">IFERROR(__xludf.DUMMYFUNCTION("""COMPUTED_VALUE"""),"06670064")</f>
        <v>06670064</v>
      </c>
      <c r="C204" s="48" t="str">
        <f ca="1">IFERROR(__xludf.DUMMYFUNCTION("""COMPUTED_VALUE"""),"STRASBOURG AS EUROMETROPOLE")</f>
        <v>STRASBOURG AS EUROMETROPOLE</v>
      </c>
      <c r="D204" s="46">
        <f ca="1">IFERROR(__xludf.DUMMYFUNCTION("""COMPUTED_VALUE"""),0)</f>
        <v>0</v>
      </c>
      <c r="E204" s="46">
        <f ca="1">IFERROR(__xludf.DUMMYFUNCTION("""COMPUTED_VALUE"""),0)</f>
        <v>0</v>
      </c>
      <c r="F204" s="46">
        <f ca="1">IFERROR(__xludf.DUMMYFUNCTION("""COMPUTED_VALUE"""),0)</f>
        <v>0</v>
      </c>
      <c r="G204" s="46">
        <f ca="1">IFERROR(__xludf.DUMMYFUNCTION("""COMPUTED_VALUE"""),0)</f>
        <v>0</v>
      </c>
      <c r="H204" s="46">
        <f ca="1">IFERROR(__xludf.DUMMYFUNCTION("""COMPUTED_VALUE"""),0)</f>
        <v>0</v>
      </c>
      <c r="I204" s="46">
        <f ca="1">IFERROR(__xludf.DUMMYFUNCTION("""COMPUTED_VALUE"""),0)</f>
        <v>0</v>
      </c>
      <c r="J204" s="46">
        <f ca="1">IFERROR(__xludf.DUMMYFUNCTION("""COMPUTED_VALUE"""),0)</f>
        <v>0</v>
      </c>
      <c r="K204" s="46">
        <f ca="1">IFERROR(__xludf.DUMMYFUNCTION("""COMPUTED_VALUE"""),0)</f>
        <v>0</v>
      </c>
      <c r="L204" s="46">
        <f ca="1">IFERROR(__xludf.DUMMYFUNCTION("""COMPUTED_VALUE"""),0)</f>
        <v>0</v>
      </c>
      <c r="M204" s="46">
        <f ca="1">IFERROR(__xludf.DUMMYFUNCTION("""COMPUTED_VALUE"""),0)</f>
        <v>0</v>
      </c>
      <c r="N204" s="46">
        <f ca="1">IFERROR(__xludf.DUMMYFUNCTION("""COMPUTED_VALUE"""),0)</f>
        <v>0</v>
      </c>
      <c r="O204" s="50">
        <f t="shared" ca="1" si="1"/>
        <v>0</v>
      </c>
    </row>
    <row r="205" spans="1:15" ht="12.75">
      <c r="A205" s="50" t="str">
        <f ca="1">IFERROR(__xludf.DUMMYFUNCTION("""COMPUTED_VALUE"""),"CD67")</f>
        <v>CD67</v>
      </c>
      <c r="B205" s="77" t="str">
        <f ca="1">IFERROR(__xludf.DUMMYFUNCTION("""COMPUTED_VALUE"""),"06670066")</f>
        <v>06670066</v>
      </c>
      <c r="C205" s="48" t="str">
        <f ca="1">IFERROR(__xludf.DUMMYFUNCTION("""COMPUTED_VALUE"""),"SOULTZ SOUS FORETS TT")</f>
        <v>SOULTZ SOUS FORETS TT</v>
      </c>
      <c r="D205" s="46">
        <f ca="1">IFERROR(__xludf.DUMMYFUNCTION("""COMPUTED_VALUE"""),0)</f>
        <v>0</v>
      </c>
      <c r="E205" s="46">
        <f ca="1">IFERROR(__xludf.DUMMYFUNCTION("""COMPUTED_VALUE"""),0)</f>
        <v>0</v>
      </c>
      <c r="F205" s="46">
        <f ca="1">IFERROR(__xludf.DUMMYFUNCTION("""COMPUTED_VALUE"""),0)</f>
        <v>0</v>
      </c>
      <c r="G205" s="46">
        <f ca="1">IFERROR(__xludf.DUMMYFUNCTION("""COMPUTED_VALUE"""),0)</f>
        <v>0</v>
      </c>
      <c r="H205" s="46">
        <f ca="1">IFERROR(__xludf.DUMMYFUNCTION("""COMPUTED_VALUE"""),0)</f>
        <v>0</v>
      </c>
      <c r="I205" s="46">
        <f ca="1">IFERROR(__xludf.DUMMYFUNCTION("""COMPUTED_VALUE"""),0)</f>
        <v>0</v>
      </c>
      <c r="J205" s="46">
        <f ca="1">IFERROR(__xludf.DUMMYFUNCTION("""COMPUTED_VALUE"""),0)</f>
        <v>0</v>
      </c>
      <c r="K205" s="46">
        <f ca="1">IFERROR(__xludf.DUMMYFUNCTION("""COMPUTED_VALUE"""),0)</f>
        <v>0</v>
      </c>
      <c r="L205" s="46">
        <f ca="1">IFERROR(__xludf.DUMMYFUNCTION("""COMPUTED_VALUE"""),0)</f>
        <v>0</v>
      </c>
      <c r="M205" s="46">
        <f ca="1">IFERROR(__xludf.DUMMYFUNCTION("""COMPUTED_VALUE"""),0)</f>
        <v>0</v>
      </c>
      <c r="N205" s="46">
        <f ca="1">IFERROR(__xludf.DUMMYFUNCTION("""COMPUTED_VALUE"""),0)</f>
        <v>0</v>
      </c>
      <c r="O205" s="50">
        <f t="shared" ca="1" si="1"/>
        <v>0</v>
      </c>
    </row>
    <row r="206" spans="1:15" ht="12.75">
      <c r="A206" s="50" t="str">
        <f ca="1">IFERROR(__xludf.DUMMYFUNCTION("""COMPUTED_VALUE"""),"CD67")</f>
        <v>CD67</v>
      </c>
      <c r="B206" s="77" t="str">
        <f ca="1">IFERROR(__xludf.DUMMYFUNCTION("""COMPUTED_VALUE"""),"06670072")</f>
        <v>06670072</v>
      </c>
      <c r="C206" s="48" t="str">
        <f ca="1">IFERROR(__xludf.DUMMYFUNCTION("""COMPUTED_VALUE"""),"STRASBOURG ST JOSEPH")</f>
        <v>STRASBOURG ST JOSEPH</v>
      </c>
      <c r="D206" s="46">
        <f ca="1">IFERROR(__xludf.DUMMYFUNCTION("""COMPUTED_VALUE"""),0)</f>
        <v>0</v>
      </c>
      <c r="E206" s="46">
        <f ca="1">IFERROR(__xludf.DUMMYFUNCTION("""COMPUTED_VALUE"""),0)</f>
        <v>0</v>
      </c>
      <c r="F206" s="46">
        <f ca="1">IFERROR(__xludf.DUMMYFUNCTION("""COMPUTED_VALUE"""),0)</f>
        <v>0</v>
      </c>
      <c r="G206" s="46">
        <f ca="1">IFERROR(__xludf.DUMMYFUNCTION("""COMPUTED_VALUE"""),0)</f>
        <v>0</v>
      </c>
      <c r="H206" s="46">
        <f ca="1">IFERROR(__xludf.DUMMYFUNCTION("""COMPUTED_VALUE"""),0)</f>
        <v>0</v>
      </c>
      <c r="I206" s="46">
        <f ca="1">IFERROR(__xludf.DUMMYFUNCTION("""COMPUTED_VALUE"""),0)</f>
        <v>0</v>
      </c>
      <c r="J206" s="46">
        <f ca="1">IFERROR(__xludf.DUMMYFUNCTION("""COMPUTED_VALUE"""),0)</f>
        <v>0</v>
      </c>
      <c r="K206" s="46">
        <f ca="1">IFERROR(__xludf.DUMMYFUNCTION("""COMPUTED_VALUE"""),0)</f>
        <v>0</v>
      </c>
      <c r="L206" s="46">
        <f ca="1">IFERROR(__xludf.DUMMYFUNCTION("""COMPUTED_VALUE"""),0)</f>
        <v>0</v>
      </c>
      <c r="M206" s="46">
        <f ca="1">IFERROR(__xludf.DUMMYFUNCTION("""COMPUTED_VALUE"""),0)</f>
        <v>0</v>
      </c>
      <c r="N206" s="46">
        <f ca="1">IFERROR(__xludf.DUMMYFUNCTION("""COMPUTED_VALUE"""),0)</f>
        <v>0</v>
      </c>
      <c r="O206" s="50">
        <f t="shared" ca="1" si="1"/>
        <v>0</v>
      </c>
    </row>
    <row r="207" spans="1:15" ht="12.75">
      <c r="A207" s="50" t="str">
        <f ca="1">IFERROR(__xludf.DUMMYFUNCTION("""COMPUTED_VALUE"""),"CD67")</f>
        <v>CD67</v>
      </c>
      <c r="B207" s="77" t="str">
        <f ca="1">IFERROR(__xludf.DUMMYFUNCTION("""COMPUTED_VALUE"""),"06670078")</f>
        <v>06670078</v>
      </c>
      <c r="C207" s="48" t="str">
        <f ca="1">IFERROR(__xludf.DUMMYFUNCTION("""COMPUTED_VALUE"""),"Compagnie Transports Strasbourg")</f>
        <v>Compagnie Transports Strasbourg</v>
      </c>
      <c r="D207" s="46">
        <f ca="1">IFERROR(__xludf.DUMMYFUNCTION("""COMPUTED_VALUE"""),0)</f>
        <v>0</v>
      </c>
      <c r="E207" s="46">
        <f ca="1">IFERROR(__xludf.DUMMYFUNCTION("""COMPUTED_VALUE"""),0)</f>
        <v>0</v>
      </c>
      <c r="F207" s="46">
        <f ca="1">IFERROR(__xludf.DUMMYFUNCTION("""COMPUTED_VALUE"""),0)</f>
        <v>0</v>
      </c>
      <c r="G207" s="46">
        <f ca="1">IFERROR(__xludf.DUMMYFUNCTION("""COMPUTED_VALUE"""),0)</f>
        <v>0</v>
      </c>
      <c r="H207" s="46">
        <f ca="1">IFERROR(__xludf.DUMMYFUNCTION("""COMPUTED_VALUE"""),0)</f>
        <v>0</v>
      </c>
      <c r="I207" s="46">
        <f ca="1">IFERROR(__xludf.DUMMYFUNCTION("""COMPUTED_VALUE"""),0)</f>
        <v>0</v>
      </c>
      <c r="J207" s="46">
        <f ca="1">IFERROR(__xludf.DUMMYFUNCTION("""COMPUTED_VALUE"""),0)</f>
        <v>0</v>
      </c>
      <c r="K207" s="46">
        <f ca="1">IFERROR(__xludf.DUMMYFUNCTION("""COMPUTED_VALUE"""),0)</f>
        <v>0</v>
      </c>
      <c r="L207" s="46">
        <f ca="1">IFERROR(__xludf.DUMMYFUNCTION("""COMPUTED_VALUE"""),0)</f>
        <v>0</v>
      </c>
      <c r="M207" s="46">
        <f ca="1">IFERROR(__xludf.DUMMYFUNCTION("""COMPUTED_VALUE"""),0)</f>
        <v>0</v>
      </c>
      <c r="N207" s="46">
        <f ca="1">IFERROR(__xludf.DUMMYFUNCTION("""COMPUTED_VALUE"""),0)</f>
        <v>0</v>
      </c>
      <c r="O207" s="50">
        <f t="shared" ca="1" si="1"/>
        <v>0</v>
      </c>
    </row>
    <row r="208" spans="1:15" ht="12.75">
      <c r="A208" s="50" t="str">
        <f ca="1">IFERROR(__xludf.DUMMYFUNCTION("""COMPUTED_VALUE"""),"CD67")</f>
        <v>CD67</v>
      </c>
      <c r="B208" s="77" t="str">
        <f ca="1">IFERROR(__xludf.DUMMYFUNCTION("""COMPUTED_VALUE"""),"06670092")</f>
        <v>06670092</v>
      </c>
      <c r="C208" s="48" t="str">
        <f ca="1">IFERROR(__xludf.DUMMYFUNCTION("""COMPUTED_VALUE"""),"STRASBOURG ELECTRICITE AS")</f>
        <v>STRASBOURG ELECTRICITE AS</v>
      </c>
      <c r="D208" s="46">
        <f ca="1">IFERROR(__xludf.DUMMYFUNCTION("""COMPUTED_VALUE"""),0)</f>
        <v>0</v>
      </c>
      <c r="E208" s="46">
        <f ca="1">IFERROR(__xludf.DUMMYFUNCTION("""COMPUTED_VALUE"""),0)</f>
        <v>0</v>
      </c>
      <c r="F208" s="46">
        <f ca="1">IFERROR(__xludf.DUMMYFUNCTION("""COMPUTED_VALUE"""),0)</f>
        <v>0</v>
      </c>
      <c r="G208" s="46">
        <f ca="1">IFERROR(__xludf.DUMMYFUNCTION("""COMPUTED_VALUE"""),0)</f>
        <v>0</v>
      </c>
      <c r="H208" s="46">
        <f ca="1">IFERROR(__xludf.DUMMYFUNCTION("""COMPUTED_VALUE"""),0)</f>
        <v>0</v>
      </c>
      <c r="I208" s="46">
        <f ca="1">IFERROR(__xludf.DUMMYFUNCTION("""COMPUTED_VALUE"""),0)</f>
        <v>0</v>
      </c>
      <c r="J208" s="46">
        <f ca="1">IFERROR(__xludf.DUMMYFUNCTION("""COMPUTED_VALUE"""),0)</f>
        <v>0</v>
      </c>
      <c r="K208" s="46">
        <f ca="1">IFERROR(__xludf.DUMMYFUNCTION("""COMPUTED_VALUE"""),0)</f>
        <v>0</v>
      </c>
      <c r="L208" s="46">
        <f ca="1">IFERROR(__xludf.DUMMYFUNCTION("""COMPUTED_VALUE"""),0)</f>
        <v>0</v>
      </c>
      <c r="M208" s="46">
        <f ca="1">IFERROR(__xludf.DUMMYFUNCTION("""COMPUTED_VALUE"""),0)</f>
        <v>0</v>
      </c>
      <c r="N208" s="46">
        <f ca="1">IFERROR(__xludf.DUMMYFUNCTION("""COMPUTED_VALUE"""),0)</f>
        <v>0</v>
      </c>
      <c r="O208" s="50">
        <f t="shared" ca="1" si="1"/>
        <v>0</v>
      </c>
    </row>
    <row r="209" spans="1:15" ht="12.75">
      <c r="A209" s="50" t="str">
        <f ca="1">IFERROR(__xludf.DUMMYFUNCTION("""COMPUTED_VALUE"""),"CD67")</f>
        <v>CD67</v>
      </c>
      <c r="B209" s="77" t="str">
        <f ca="1">IFERROR(__xludf.DUMMYFUNCTION("""COMPUTED_VALUE"""),"06670107")</f>
        <v>06670107</v>
      </c>
      <c r="C209" s="48" t="str">
        <f ca="1">IFERROR(__xludf.DUMMYFUNCTION("""COMPUTED_VALUE"""),"CREDIT MUTUEL AS")</f>
        <v>CREDIT MUTUEL AS</v>
      </c>
      <c r="D209" s="46">
        <f ca="1">IFERROR(__xludf.DUMMYFUNCTION("""COMPUTED_VALUE"""),0)</f>
        <v>0</v>
      </c>
      <c r="E209" s="46">
        <f ca="1">IFERROR(__xludf.DUMMYFUNCTION("""COMPUTED_VALUE"""),0)</f>
        <v>0</v>
      </c>
      <c r="F209" s="46">
        <f ca="1">IFERROR(__xludf.DUMMYFUNCTION("""COMPUTED_VALUE"""),0)</f>
        <v>0</v>
      </c>
      <c r="G209" s="46">
        <f ca="1">IFERROR(__xludf.DUMMYFUNCTION("""COMPUTED_VALUE"""),0)</f>
        <v>0</v>
      </c>
      <c r="H209" s="46">
        <f ca="1">IFERROR(__xludf.DUMMYFUNCTION("""COMPUTED_VALUE"""),0)</f>
        <v>0</v>
      </c>
      <c r="I209" s="46">
        <f ca="1">IFERROR(__xludf.DUMMYFUNCTION("""COMPUTED_VALUE"""),0)</f>
        <v>0</v>
      </c>
      <c r="J209" s="46">
        <f ca="1">IFERROR(__xludf.DUMMYFUNCTION("""COMPUTED_VALUE"""),0)</f>
        <v>0</v>
      </c>
      <c r="K209" s="46">
        <f ca="1">IFERROR(__xludf.DUMMYFUNCTION("""COMPUTED_VALUE"""),0)</f>
        <v>0</v>
      </c>
      <c r="L209" s="46">
        <f ca="1">IFERROR(__xludf.DUMMYFUNCTION("""COMPUTED_VALUE"""),0)</f>
        <v>0</v>
      </c>
      <c r="M209" s="46">
        <f ca="1">IFERROR(__xludf.DUMMYFUNCTION("""COMPUTED_VALUE"""),0)</f>
        <v>0</v>
      </c>
      <c r="N209" s="46">
        <f ca="1">IFERROR(__xludf.DUMMYFUNCTION("""COMPUTED_VALUE"""),0)</f>
        <v>0</v>
      </c>
      <c r="O209" s="50">
        <f t="shared" ca="1" si="1"/>
        <v>0</v>
      </c>
    </row>
    <row r="210" spans="1:15" ht="12.75">
      <c r="A210" s="50" t="str">
        <f ca="1">IFERROR(__xludf.DUMMYFUNCTION("""COMPUTED_VALUE"""),"CD67")</f>
        <v>CD67</v>
      </c>
      <c r="B210" s="77" t="str">
        <f ca="1">IFERROR(__xludf.DUMMYFUNCTION("""COMPUTED_VALUE"""),"06670114")</f>
        <v>06670114</v>
      </c>
      <c r="C210" s="48" t="str">
        <f ca="1">IFERROR(__xludf.DUMMYFUNCTION("""COMPUTED_VALUE"""),"KESKASTEL TT")</f>
        <v>KESKASTEL TT</v>
      </c>
      <c r="D210" s="46">
        <f ca="1">IFERROR(__xludf.DUMMYFUNCTION("""COMPUTED_VALUE"""),0)</f>
        <v>0</v>
      </c>
      <c r="E210" s="46">
        <f ca="1">IFERROR(__xludf.DUMMYFUNCTION("""COMPUTED_VALUE"""),0)</f>
        <v>0</v>
      </c>
      <c r="F210" s="46">
        <f ca="1">IFERROR(__xludf.DUMMYFUNCTION("""COMPUTED_VALUE"""),1)</f>
        <v>1</v>
      </c>
      <c r="G210" s="46">
        <f ca="1">IFERROR(__xludf.DUMMYFUNCTION("""COMPUTED_VALUE"""),0)</f>
        <v>0</v>
      </c>
      <c r="H210" s="46">
        <f ca="1">IFERROR(__xludf.DUMMYFUNCTION("""COMPUTED_VALUE"""),0)</f>
        <v>0</v>
      </c>
      <c r="I210" s="46">
        <f ca="1">IFERROR(__xludf.DUMMYFUNCTION("""COMPUTED_VALUE"""),1)</f>
        <v>1</v>
      </c>
      <c r="J210" s="46">
        <f ca="1">IFERROR(__xludf.DUMMYFUNCTION("""COMPUTED_VALUE"""),0)</f>
        <v>0</v>
      </c>
      <c r="K210" s="46">
        <f ca="1">IFERROR(__xludf.DUMMYFUNCTION("""COMPUTED_VALUE"""),0)</f>
        <v>0</v>
      </c>
      <c r="L210" s="46">
        <f ca="1">IFERROR(__xludf.DUMMYFUNCTION("""COMPUTED_VALUE"""),0)</f>
        <v>0</v>
      </c>
      <c r="M210" s="46">
        <f ca="1">IFERROR(__xludf.DUMMYFUNCTION("""COMPUTED_VALUE"""),0)</f>
        <v>0</v>
      </c>
      <c r="N210" s="46">
        <f ca="1">IFERROR(__xludf.DUMMYFUNCTION("""COMPUTED_VALUE"""),0)</f>
        <v>0</v>
      </c>
      <c r="O210" s="50">
        <f t="shared" ca="1" si="1"/>
        <v>2</v>
      </c>
    </row>
    <row r="211" spans="1:15" ht="12.75">
      <c r="A211" s="50" t="str">
        <f ca="1">IFERROR(__xludf.DUMMYFUNCTION("""COMPUTED_VALUE"""),"CD67")</f>
        <v>CD67</v>
      </c>
      <c r="B211" s="77" t="str">
        <f ca="1">IFERROR(__xludf.DUMMYFUNCTION("""COMPUTED_VALUE"""),"06670115")</f>
        <v>06670115</v>
      </c>
      <c r="C211" s="48" t="str">
        <f ca="1">IFERROR(__xludf.DUMMYFUNCTION("""COMPUTED_VALUE"""),"GUNDERSHOFFEN P79")</f>
        <v>GUNDERSHOFFEN P79</v>
      </c>
      <c r="D211" s="46">
        <f ca="1">IFERROR(__xludf.DUMMYFUNCTION("""COMPUTED_VALUE"""),3)</f>
        <v>3</v>
      </c>
      <c r="E211" s="46">
        <f ca="1">IFERROR(__xludf.DUMMYFUNCTION("""COMPUTED_VALUE"""),0)</f>
        <v>0</v>
      </c>
      <c r="F211" s="46">
        <f ca="1">IFERROR(__xludf.DUMMYFUNCTION("""COMPUTED_VALUE"""),1)</f>
        <v>1</v>
      </c>
      <c r="G211" s="46">
        <f ca="1">IFERROR(__xludf.DUMMYFUNCTION("""COMPUTED_VALUE"""),0)</f>
        <v>0</v>
      </c>
      <c r="H211" s="46">
        <f ca="1">IFERROR(__xludf.DUMMYFUNCTION("""COMPUTED_VALUE"""),0)</f>
        <v>0</v>
      </c>
      <c r="I211" s="46">
        <f ca="1">IFERROR(__xludf.DUMMYFUNCTION("""COMPUTED_VALUE"""),1)</f>
        <v>1</v>
      </c>
      <c r="J211" s="46">
        <f ca="1">IFERROR(__xludf.DUMMYFUNCTION("""COMPUTED_VALUE"""),0)</f>
        <v>0</v>
      </c>
      <c r="K211" s="46">
        <f ca="1">IFERROR(__xludf.DUMMYFUNCTION("""COMPUTED_VALUE"""),0)</f>
        <v>0</v>
      </c>
      <c r="L211" s="46">
        <f ca="1">IFERROR(__xludf.DUMMYFUNCTION("""COMPUTED_VALUE"""),0)</f>
        <v>0</v>
      </c>
      <c r="M211" s="46">
        <f ca="1">IFERROR(__xludf.DUMMYFUNCTION("""COMPUTED_VALUE"""),0)</f>
        <v>0</v>
      </c>
      <c r="N211" s="46">
        <f ca="1">IFERROR(__xludf.DUMMYFUNCTION("""COMPUTED_VALUE"""),0)</f>
        <v>0</v>
      </c>
      <c r="O211" s="50">
        <f t="shared" ca="1" si="1"/>
        <v>5</v>
      </c>
    </row>
    <row r="212" spans="1:15" ht="12.75">
      <c r="A212" s="50" t="str">
        <f ca="1">IFERROR(__xludf.DUMMYFUNCTION("""COMPUTED_VALUE"""),"CD67")</f>
        <v>CD67</v>
      </c>
      <c r="B212" s="77" t="str">
        <f ca="1">IFERROR(__xludf.DUMMYFUNCTION("""COMPUTED_VALUE"""),"06670122")</f>
        <v>06670122</v>
      </c>
      <c r="C212" s="48" t="str">
        <f ca="1">IFERROR(__xludf.DUMMYFUNCTION("""COMPUTED_VALUE"""),"OBERNAI CA")</f>
        <v>OBERNAI CA</v>
      </c>
      <c r="D212" s="46">
        <f ca="1">IFERROR(__xludf.DUMMYFUNCTION("""COMPUTED_VALUE"""),4)</f>
        <v>4</v>
      </c>
      <c r="E212" s="46">
        <f ca="1">IFERROR(__xludf.DUMMYFUNCTION("""COMPUTED_VALUE"""),0)</f>
        <v>0</v>
      </c>
      <c r="F212" s="46">
        <f ca="1">IFERROR(__xludf.DUMMYFUNCTION("""COMPUTED_VALUE"""),11)</f>
        <v>11</v>
      </c>
      <c r="G212" s="46">
        <f ca="1">IFERROR(__xludf.DUMMYFUNCTION("""COMPUTED_VALUE"""),1)</f>
        <v>1</v>
      </c>
      <c r="H212" s="46">
        <f ca="1">IFERROR(__xludf.DUMMYFUNCTION("""COMPUTED_VALUE"""),0)</f>
        <v>0</v>
      </c>
      <c r="I212" s="46">
        <f ca="1">IFERROR(__xludf.DUMMYFUNCTION("""COMPUTED_VALUE"""),5)</f>
        <v>5</v>
      </c>
      <c r="J212" s="46">
        <f ca="1">IFERROR(__xludf.DUMMYFUNCTION("""COMPUTED_VALUE"""),0)</f>
        <v>0</v>
      </c>
      <c r="K212" s="46">
        <f ca="1">IFERROR(__xludf.DUMMYFUNCTION("""COMPUTED_VALUE"""),0)</f>
        <v>0</v>
      </c>
      <c r="L212" s="46">
        <f ca="1">IFERROR(__xludf.DUMMYFUNCTION("""COMPUTED_VALUE"""),0)</f>
        <v>0</v>
      </c>
      <c r="M212" s="46">
        <f ca="1">IFERROR(__xludf.DUMMYFUNCTION("""COMPUTED_VALUE"""),0)</f>
        <v>0</v>
      </c>
      <c r="N212" s="46">
        <f ca="1">IFERROR(__xludf.DUMMYFUNCTION("""COMPUTED_VALUE"""),0)</f>
        <v>0</v>
      </c>
      <c r="O212" s="50">
        <f t="shared" ca="1" si="1"/>
        <v>21</v>
      </c>
    </row>
    <row r="213" spans="1:15" ht="12.75">
      <c r="A213" s="50" t="str">
        <f ca="1">IFERROR(__xludf.DUMMYFUNCTION("""COMPUTED_VALUE"""),"CD67")</f>
        <v>CD67</v>
      </c>
      <c r="B213" s="77" t="str">
        <f ca="1">IFERROR(__xludf.DUMMYFUNCTION("""COMPUTED_VALUE"""),"06670129")</f>
        <v>06670129</v>
      </c>
      <c r="C213" s="48" t="str">
        <f ca="1">IFERROR(__xludf.DUMMYFUNCTION("""COMPUTED_VALUE"""),"ERGERSHEIM FCJ")</f>
        <v>ERGERSHEIM FCJ</v>
      </c>
      <c r="D213" s="46">
        <f ca="1">IFERROR(__xludf.DUMMYFUNCTION("""COMPUTED_VALUE"""),0)</f>
        <v>0</v>
      </c>
      <c r="E213" s="46">
        <f ca="1">IFERROR(__xludf.DUMMYFUNCTION("""COMPUTED_VALUE"""),0)</f>
        <v>0</v>
      </c>
      <c r="F213" s="46">
        <f ca="1">IFERROR(__xludf.DUMMYFUNCTION("""COMPUTED_VALUE"""),0)</f>
        <v>0</v>
      </c>
      <c r="G213" s="46">
        <f ca="1">IFERROR(__xludf.DUMMYFUNCTION("""COMPUTED_VALUE"""),0)</f>
        <v>0</v>
      </c>
      <c r="H213" s="46">
        <f ca="1">IFERROR(__xludf.DUMMYFUNCTION("""COMPUTED_VALUE"""),0)</f>
        <v>0</v>
      </c>
      <c r="I213" s="46">
        <f ca="1">IFERROR(__xludf.DUMMYFUNCTION("""COMPUTED_VALUE"""),0)</f>
        <v>0</v>
      </c>
      <c r="J213" s="46">
        <f ca="1">IFERROR(__xludf.DUMMYFUNCTION("""COMPUTED_VALUE"""),0)</f>
        <v>0</v>
      </c>
      <c r="K213" s="46">
        <f ca="1">IFERROR(__xludf.DUMMYFUNCTION("""COMPUTED_VALUE"""),0)</f>
        <v>0</v>
      </c>
      <c r="L213" s="46">
        <f ca="1">IFERROR(__xludf.DUMMYFUNCTION("""COMPUTED_VALUE"""),0)</f>
        <v>0</v>
      </c>
      <c r="M213" s="46">
        <f ca="1">IFERROR(__xludf.DUMMYFUNCTION("""COMPUTED_VALUE"""),0)</f>
        <v>0</v>
      </c>
      <c r="N213" s="46">
        <f ca="1">IFERROR(__xludf.DUMMYFUNCTION("""COMPUTED_VALUE"""),0)</f>
        <v>0</v>
      </c>
      <c r="O213" s="50">
        <f t="shared" ca="1" si="1"/>
        <v>0</v>
      </c>
    </row>
    <row r="214" spans="1:15" ht="12.75">
      <c r="A214" s="50" t="str">
        <f ca="1">IFERROR(__xludf.DUMMYFUNCTION("""COMPUTED_VALUE"""),"CD67")</f>
        <v>CD67</v>
      </c>
      <c r="B214" s="77" t="str">
        <f ca="1">IFERROR(__xludf.DUMMYFUNCTION("""COMPUTED_VALUE"""),"06670149")</f>
        <v>06670149</v>
      </c>
      <c r="C214" s="48" t="str">
        <f ca="1">IFERROR(__xludf.DUMMYFUNCTION("""COMPUTED_VALUE"""),"DORLISHEIM SD")</f>
        <v>DORLISHEIM SD</v>
      </c>
      <c r="D214" s="46">
        <f ca="1">IFERROR(__xludf.DUMMYFUNCTION("""COMPUTED_VALUE"""),4)</f>
        <v>4</v>
      </c>
      <c r="E214" s="46">
        <f ca="1">IFERROR(__xludf.DUMMYFUNCTION("""COMPUTED_VALUE"""),0)</f>
        <v>0</v>
      </c>
      <c r="F214" s="46">
        <f ca="1">IFERROR(__xludf.DUMMYFUNCTION("""COMPUTED_VALUE"""),1)</f>
        <v>1</v>
      </c>
      <c r="G214" s="46">
        <f ca="1">IFERROR(__xludf.DUMMYFUNCTION("""COMPUTED_VALUE"""),0)</f>
        <v>0</v>
      </c>
      <c r="H214" s="46">
        <f ca="1">IFERROR(__xludf.DUMMYFUNCTION("""COMPUTED_VALUE"""),0)</f>
        <v>0</v>
      </c>
      <c r="I214" s="46">
        <f ca="1">IFERROR(__xludf.DUMMYFUNCTION("""COMPUTED_VALUE"""),1)</f>
        <v>1</v>
      </c>
      <c r="J214" s="46">
        <f ca="1">IFERROR(__xludf.DUMMYFUNCTION("""COMPUTED_VALUE"""),0)</f>
        <v>0</v>
      </c>
      <c r="K214" s="46">
        <f ca="1">IFERROR(__xludf.DUMMYFUNCTION("""COMPUTED_VALUE"""),0)</f>
        <v>0</v>
      </c>
      <c r="L214" s="46">
        <f ca="1">IFERROR(__xludf.DUMMYFUNCTION("""COMPUTED_VALUE"""),0)</f>
        <v>0</v>
      </c>
      <c r="M214" s="46">
        <f ca="1">IFERROR(__xludf.DUMMYFUNCTION("""COMPUTED_VALUE"""),0)</f>
        <v>0</v>
      </c>
      <c r="N214" s="46">
        <f ca="1">IFERROR(__xludf.DUMMYFUNCTION("""COMPUTED_VALUE"""),0)</f>
        <v>0</v>
      </c>
      <c r="O214" s="50">
        <f t="shared" ca="1" si="1"/>
        <v>6</v>
      </c>
    </row>
    <row r="215" spans="1:15" ht="12.75">
      <c r="A215" s="50" t="str">
        <f ca="1">IFERROR(__xludf.DUMMYFUNCTION("""COMPUTED_VALUE"""),"CD67")</f>
        <v>CD67</v>
      </c>
      <c r="B215" s="77" t="str">
        <f ca="1">IFERROR(__xludf.DUMMYFUNCTION("""COMPUTED_VALUE"""),"06670160")</f>
        <v>06670160</v>
      </c>
      <c r="C215" s="48" t="str">
        <f ca="1">IFERROR(__xludf.DUMMYFUNCTION("""COMPUTED_VALUE"""),"T.T.Haguenau Wissembourg")</f>
        <v>T.T.Haguenau Wissembourg</v>
      </c>
      <c r="D215" s="46">
        <f ca="1">IFERROR(__xludf.DUMMYFUNCTION("""COMPUTED_VALUE"""),8)</f>
        <v>8</v>
      </c>
      <c r="E215" s="46">
        <f ca="1">IFERROR(__xludf.DUMMYFUNCTION("""COMPUTED_VALUE"""),0)</f>
        <v>0</v>
      </c>
      <c r="F215" s="46">
        <f ca="1">IFERROR(__xludf.DUMMYFUNCTION("""COMPUTED_VALUE"""),16)</f>
        <v>16</v>
      </c>
      <c r="G215" s="46">
        <f ca="1">IFERROR(__xludf.DUMMYFUNCTION("""COMPUTED_VALUE"""),0)</f>
        <v>0</v>
      </c>
      <c r="H215" s="46">
        <f ca="1">IFERROR(__xludf.DUMMYFUNCTION("""COMPUTED_VALUE"""),0)</f>
        <v>0</v>
      </c>
      <c r="I215" s="46">
        <f ca="1">IFERROR(__xludf.DUMMYFUNCTION("""COMPUTED_VALUE"""),5)</f>
        <v>5</v>
      </c>
      <c r="J215" s="46">
        <f ca="1">IFERROR(__xludf.DUMMYFUNCTION("""COMPUTED_VALUE"""),0)</f>
        <v>0</v>
      </c>
      <c r="K215" s="46">
        <f ca="1">IFERROR(__xludf.DUMMYFUNCTION("""COMPUTED_VALUE"""),1)</f>
        <v>1</v>
      </c>
      <c r="L215" s="46">
        <f ca="1">IFERROR(__xludf.DUMMYFUNCTION("""COMPUTED_VALUE"""),0)</f>
        <v>0</v>
      </c>
      <c r="M215" s="46">
        <f ca="1">IFERROR(__xludf.DUMMYFUNCTION("""COMPUTED_VALUE"""),0)</f>
        <v>0</v>
      </c>
      <c r="N215" s="46">
        <f ca="1">IFERROR(__xludf.DUMMYFUNCTION("""COMPUTED_VALUE"""),0)</f>
        <v>0</v>
      </c>
      <c r="O215" s="50">
        <f t="shared" ca="1" si="1"/>
        <v>30</v>
      </c>
    </row>
    <row r="216" spans="1:15" ht="12.75">
      <c r="A216" s="50" t="str">
        <f ca="1">IFERROR(__xludf.DUMMYFUNCTION("""COMPUTED_VALUE"""),"CD67")</f>
        <v>CD67</v>
      </c>
      <c r="B216" s="77" t="str">
        <f ca="1">IFERROR(__xludf.DUMMYFUNCTION("""COMPUTED_VALUE"""),"06670171")</f>
        <v>06670171</v>
      </c>
      <c r="C216" s="48" t="str">
        <f ca="1">IFERROR(__xludf.DUMMYFUNCTION("""COMPUTED_VALUE"""),"OBENHEIM Club Tennis Table")</f>
        <v>OBENHEIM Club Tennis Table</v>
      </c>
      <c r="D216" s="46">
        <f ca="1">IFERROR(__xludf.DUMMYFUNCTION("""COMPUTED_VALUE"""),1)</f>
        <v>1</v>
      </c>
      <c r="E216" s="46">
        <f ca="1">IFERROR(__xludf.DUMMYFUNCTION("""COMPUTED_VALUE"""),0)</f>
        <v>0</v>
      </c>
      <c r="F216" s="46">
        <f ca="1">IFERROR(__xludf.DUMMYFUNCTION("""COMPUTED_VALUE"""),0)</f>
        <v>0</v>
      </c>
      <c r="G216" s="46">
        <f ca="1">IFERROR(__xludf.DUMMYFUNCTION("""COMPUTED_VALUE"""),0)</f>
        <v>0</v>
      </c>
      <c r="H216" s="46">
        <f ca="1">IFERROR(__xludf.DUMMYFUNCTION("""COMPUTED_VALUE"""),0)</f>
        <v>0</v>
      </c>
      <c r="I216" s="46">
        <f ca="1">IFERROR(__xludf.DUMMYFUNCTION("""COMPUTED_VALUE"""),0)</f>
        <v>0</v>
      </c>
      <c r="J216" s="46">
        <f ca="1">IFERROR(__xludf.DUMMYFUNCTION("""COMPUTED_VALUE"""),0)</f>
        <v>0</v>
      </c>
      <c r="K216" s="46">
        <f ca="1">IFERROR(__xludf.DUMMYFUNCTION("""COMPUTED_VALUE"""),0)</f>
        <v>0</v>
      </c>
      <c r="L216" s="46">
        <f ca="1">IFERROR(__xludf.DUMMYFUNCTION("""COMPUTED_VALUE"""),0)</f>
        <v>0</v>
      </c>
      <c r="M216" s="46">
        <f ca="1">IFERROR(__xludf.DUMMYFUNCTION("""COMPUTED_VALUE"""),0)</f>
        <v>0</v>
      </c>
      <c r="N216" s="46">
        <f ca="1">IFERROR(__xludf.DUMMYFUNCTION("""COMPUTED_VALUE"""),0)</f>
        <v>0</v>
      </c>
      <c r="O216" s="50">
        <f t="shared" ca="1" si="1"/>
        <v>1</v>
      </c>
    </row>
    <row r="217" spans="1:15" ht="12.75">
      <c r="A217" s="50" t="str">
        <f ca="1">IFERROR(__xludf.DUMMYFUNCTION("""COMPUTED_VALUE"""),"CD67")</f>
        <v>CD67</v>
      </c>
      <c r="B217" s="77" t="str">
        <f ca="1">IFERROR(__xludf.DUMMYFUNCTION("""COMPUTED_VALUE"""),"06670178")</f>
        <v>06670178</v>
      </c>
      <c r="C217" s="48" t="str">
        <f ca="1">IFERROR(__xludf.DUMMYFUNCTION("""COMPUTED_VALUE"""),"SOUFFEL TT")</f>
        <v>SOUFFEL TT</v>
      </c>
      <c r="D217" s="46">
        <f ca="1">IFERROR(__xludf.DUMMYFUNCTION("""COMPUTED_VALUE"""),0)</f>
        <v>0</v>
      </c>
      <c r="E217" s="46">
        <f ca="1">IFERROR(__xludf.DUMMYFUNCTION("""COMPUTED_VALUE"""),0)</f>
        <v>0</v>
      </c>
      <c r="F217" s="46">
        <f ca="1">IFERROR(__xludf.DUMMYFUNCTION("""COMPUTED_VALUE"""),0)</f>
        <v>0</v>
      </c>
      <c r="G217" s="46">
        <f ca="1">IFERROR(__xludf.DUMMYFUNCTION("""COMPUTED_VALUE"""),0)</f>
        <v>0</v>
      </c>
      <c r="H217" s="46">
        <f ca="1">IFERROR(__xludf.DUMMYFUNCTION("""COMPUTED_VALUE"""),0)</f>
        <v>0</v>
      </c>
      <c r="I217" s="46">
        <f ca="1">IFERROR(__xludf.DUMMYFUNCTION("""COMPUTED_VALUE"""),0)</f>
        <v>0</v>
      </c>
      <c r="J217" s="46">
        <f ca="1">IFERROR(__xludf.DUMMYFUNCTION("""COMPUTED_VALUE"""),0)</f>
        <v>0</v>
      </c>
      <c r="K217" s="46">
        <f ca="1">IFERROR(__xludf.DUMMYFUNCTION("""COMPUTED_VALUE"""),0)</f>
        <v>0</v>
      </c>
      <c r="L217" s="46">
        <f ca="1">IFERROR(__xludf.DUMMYFUNCTION("""COMPUTED_VALUE"""),0)</f>
        <v>0</v>
      </c>
      <c r="M217" s="46">
        <f ca="1">IFERROR(__xludf.DUMMYFUNCTION("""COMPUTED_VALUE"""),0)</f>
        <v>0</v>
      </c>
      <c r="N217" s="46">
        <f ca="1">IFERROR(__xludf.DUMMYFUNCTION("""COMPUTED_VALUE"""),0)</f>
        <v>0</v>
      </c>
      <c r="O217" s="50">
        <f t="shared" ca="1" si="1"/>
        <v>0</v>
      </c>
    </row>
    <row r="218" spans="1:15" ht="12.75">
      <c r="A218" s="50" t="str">
        <f ca="1">IFERROR(__xludf.DUMMYFUNCTION("""COMPUTED_VALUE"""),"CD67")</f>
        <v>CD67</v>
      </c>
      <c r="B218" s="77" t="str">
        <f ca="1">IFERROR(__xludf.DUMMYFUNCTION("""COMPUTED_VALUE"""),"06670183")</f>
        <v>06670183</v>
      </c>
      <c r="C218" s="48" t="str">
        <f ca="1">IFERROR(__xludf.DUMMYFUNCTION("""COMPUTED_VALUE"""),"FCJ BOOTZHEIM")</f>
        <v>FCJ BOOTZHEIM</v>
      </c>
      <c r="D218" s="46">
        <f ca="1">IFERROR(__xludf.DUMMYFUNCTION("""COMPUTED_VALUE"""),1)</f>
        <v>1</v>
      </c>
      <c r="E218" s="46">
        <f ca="1">IFERROR(__xludf.DUMMYFUNCTION("""COMPUTED_VALUE"""),0)</f>
        <v>0</v>
      </c>
      <c r="F218" s="46">
        <f ca="1">IFERROR(__xludf.DUMMYFUNCTION("""COMPUTED_VALUE"""),1)</f>
        <v>1</v>
      </c>
      <c r="G218" s="46">
        <f ca="1">IFERROR(__xludf.DUMMYFUNCTION("""COMPUTED_VALUE"""),0)</f>
        <v>0</v>
      </c>
      <c r="H218" s="46">
        <f ca="1">IFERROR(__xludf.DUMMYFUNCTION("""COMPUTED_VALUE"""),0)</f>
        <v>0</v>
      </c>
      <c r="I218" s="46">
        <f ca="1">IFERROR(__xludf.DUMMYFUNCTION("""COMPUTED_VALUE"""),0)</f>
        <v>0</v>
      </c>
      <c r="J218" s="46">
        <f ca="1">IFERROR(__xludf.DUMMYFUNCTION("""COMPUTED_VALUE"""),1)</f>
        <v>1</v>
      </c>
      <c r="K218" s="46">
        <f ca="1">IFERROR(__xludf.DUMMYFUNCTION("""COMPUTED_VALUE"""),0)</f>
        <v>0</v>
      </c>
      <c r="L218" s="46">
        <f ca="1">IFERROR(__xludf.DUMMYFUNCTION("""COMPUTED_VALUE"""),0)</f>
        <v>0</v>
      </c>
      <c r="M218" s="46">
        <f ca="1">IFERROR(__xludf.DUMMYFUNCTION("""COMPUTED_VALUE"""),0)</f>
        <v>0</v>
      </c>
      <c r="N218" s="46">
        <f ca="1">IFERROR(__xludf.DUMMYFUNCTION("""COMPUTED_VALUE"""),1)</f>
        <v>1</v>
      </c>
      <c r="O218" s="50">
        <f t="shared" ca="1" si="1"/>
        <v>4</v>
      </c>
    </row>
    <row r="219" spans="1:15" ht="12.75">
      <c r="A219" s="50" t="str">
        <f ca="1">IFERROR(__xludf.DUMMYFUNCTION("""COMPUTED_VALUE"""),"CD67")</f>
        <v>CD67</v>
      </c>
      <c r="B219" s="77" t="str">
        <f ca="1">IFERROR(__xludf.DUMMYFUNCTION("""COMPUTED_VALUE"""),"06670187")</f>
        <v>06670187</v>
      </c>
      <c r="C219" s="48" t="str">
        <f ca="1">IFERROR(__xludf.DUMMYFUNCTION("""COMPUTED_VALUE"""),"SCHIRRHEIN-SCHIRRHOFFEN CSCSN")</f>
        <v>SCHIRRHEIN-SCHIRRHOFFEN CSCSN</v>
      </c>
      <c r="D219" s="46">
        <f ca="1">IFERROR(__xludf.DUMMYFUNCTION("""COMPUTED_VALUE"""),0)</f>
        <v>0</v>
      </c>
      <c r="E219" s="46">
        <f ca="1">IFERROR(__xludf.DUMMYFUNCTION("""COMPUTED_VALUE"""),0)</f>
        <v>0</v>
      </c>
      <c r="F219" s="46">
        <f ca="1">IFERROR(__xludf.DUMMYFUNCTION("""COMPUTED_VALUE"""),4)</f>
        <v>4</v>
      </c>
      <c r="G219" s="46">
        <f ca="1">IFERROR(__xludf.DUMMYFUNCTION("""COMPUTED_VALUE"""),0)</f>
        <v>0</v>
      </c>
      <c r="H219" s="46">
        <f ca="1">IFERROR(__xludf.DUMMYFUNCTION("""COMPUTED_VALUE"""),0)</f>
        <v>0</v>
      </c>
      <c r="I219" s="46">
        <f ca="1">IFERROR(__xludf.DUMMYFUNCTION("""COMPUTED_VALUE"""),2)</f>
        <v>2</v>
      </c>
      <c r="J219" s="46">
        <f ca="1">IFERROR(__xludf.DUMMYFUNCTION("""COMPUTED_VALUE"""),0)</f>
        <v>0</v>
      </c>
      <c r="K219" s="46">
        <f ca="1">IFERROR(__xludf.DUMMYFUNCTION("""COMPUTED_VALUE"""),0)</f>
        <v>0</v>
      </c>
      <c r="L219" s="46">
        <f ca="1">IFERROR(__xludf.DUMMYFUNCTION("""COMPUTED_VALUE"""),0)</f>
        <v>0</v>
      </c>
      <c r="M219" s="46">
        <f ca="1">IFERROR(__xludf.DUMMYFUNCTION("""COMPUTED_VALUE"""),0)</f>
        <v>0</v>
      </c>
      <c r="N219" s="46">
        <f ca="1">IFERROR(__xludf.DUMMYFUNCTION("""COMPUTED_VALUE"""),0)</f>
        <v>0</v>
      </c>
      <c r="O219" s="50">
        <f t="shared" ca="1" si="1"/>
        <v>6</v>
      </c>
    </row>
    <row r="220" spans="1:15" ht="12.75">
      <c r="A220" s="50" t="str">
        <f ca="1">IFERROR(__xludf.DUMMYFUNCTION("""COMPUTED_VALUE"""),"CD67")</f>
        <v>CD67</v>
      </c>
      <c r="B220" s="77" t="str">
        <f ca="1">IFERROR(__xludf.DUMMYFUNCTION("""COMPUTED_VALUE"""),"06670194")</f>
        <v>06670194</v>
      </c>
      <c r="C220" s="48" t="str">
        <f ca="1">IFERROR(__xludf.DUMMYFUNCTION("""COMPUTED_VALUE"""),"GERSTHEIM CSD")</f>
        <v>GERSTHEIM CSD</v>
      </c>
      <c r="D220" s="46">
        <f ca="1">IFERROR(__xludf.DUMMYFUNCTION("""COMPUTED_VALUE"""),1)</f>
        <v>1</v>
      </c>
      <c r="E220" s="46">
        <f ca="1">IFERROR(__xludf.DUMMYFUNCTION("""COMPUTED_VALUE"""),0)</f>
        <v>0</v>
      </c>
      <c r="F220" s="46">
        <f ca="1">IFERROR(__xludf.DUMMYFUNCTION("""COMPUTED_VALUE"""),0)</f>
        <v>0</v>
      </c>
      <c r="G220" s="46">
        <f ca="1">IFERROR(__xludf.DUMMYFUNCTION("""COMPUTED_VALUE"""),0)</f>
        <v>0</v>
      </c>
      <c r="H220" s="46">
        <f ca="1">IFERROR(__xludf.DUMMYFUNCTION("""COMPUTED_VALUE"""),0)</f>
        <v>0</v>
      </c>
      <c r="I220" s="46">
        <f ca="1">IFERROR(__xludf.DUMMYFUNCTION("""COMPUTED_VALUE"""),0)</f>
        <v>0</v>
      </c>
      <c r="J220" s="46">
        <f ca="1">IFERROR(__xludf.DUMMYFUNCTION("""COMPUTED_VALUE"""),0)</f>
        <v>0</v>
      </c>
      <c r="K220" s="46">
        <f ca="1">IFERROR(__xludf.DUMMYFUNCTION("""COMPUTED_VALUE"""),0)</f>
        <v>0</v>
      </c>
      <c r="L220" s="46">
        <f ca="1">IFERROR(__xludf.DUMMYFUNCTION("""COMPUTED_VALUE"""),0)</f>
        <v>0</v>
      </c>
      <c r="M220" s="46">
        <f ca="1">IFERROR(__xludf.DUMMYFUNCTION("""COMPUTED_VALUE"""),0)</f>
        <v>0</v>
      </c>
      <c r="N220" s="46">
        <f ca="1">IFERROR(__xludf.DUMMYFUNCTION("""COMPUTED_VALUE"""),0)</f>
        <v>0</v>
      </c>
      <c r="O220" s="50">
        <f t="shared" ca="1" si="1"/>
        <v>1</v>
      </c>
    </row>
    <row r="221" spans="1:15" ht="12.75">
      <c r="A221" s="50" t="str">
        <f ca="1">IFERROR(__xludf.DUMMYFUNCTION("""COMPUTED_VALUE"""),"CD67")</f>
        <v>CD67</v>
      </c>
      <c r="B221" s="77" t="str">
        <f ca="1">IFERROR(__xludf.DUMMYFUNCTION("""COMPUTED_VALUE"""),"06670195")</f>
        <v>06670195</v>
      </c>
      <c r="C221" s="48" t="str">
        <f ca="1">IFERROR(__xludf.DUMMYFUNCTION("""COMPUTED_VALUE"""),"HANAU Tennis de Table")</f>
        <v>HANAU Tennis de Table</v>
      </c>
      <c r="D221" s="46">
        <f ca="1">IFERROR(__xludf.DUMMYFUNCTION("""COMPUTED_VALUE"""),0)</f>
        <v>0</v>
      </c>
      <c r="E221" s="46">
        <f ca="1">IFERROR(__xludf.DUMMYFUNCTION("""COMPUTED_VALUE"""),0)</f>
        <v>0</v>
      </c>
      <c r="F221" s="46">
        <f ca="1">IFERROR(__xludf.DUMMYFUNCTION("""COMPUTED_VALUE"""),4)</f>
        <v>4</v>
      </c>
      <c r="G221" s="46">
        <f ca="1">IFERROR(__xludf.DUMMYFUNCTION("""COMPUTED_VALUE"""),0)</f>
        <v>0</v>
      </c>
      <c r="H221" s="46">
        <f ca="1">IFERROR(__xludf.DUMMYFUNCTION("""COMPUTED_VALUE"""),0)</f>
        <v>0</v>
      </c>
      <c r="I221" s="46">
        <f ca="1">IFERROR(__xludf.DUMMYFUNCTION("""COMPUTED_VALUE"""),4)</f>
        <v>4</v>
      </c>
      <c r="J221" s="46">
        <f ca="1">IFERROR(__xludf.DUMMYFUNCTION("""COMPUTED_VALUE"""),0)</f>
        <v>0</v>
      </c>
      <c r="K221" s="46">
        <f ca="1">IFERROR(__xludf.DUMMYFUNCTION("""COMPUTED_VALUE"""),0)</f>
        <v>0</v>
      </c>
      <c r="L221" s="46">
        <f ca="1">IFERROR(__xludf.DUMMYFUNCTION("""COMPUTED_VALUE"""),0)</f>
        <v>0</v>
      </c>
      <c r="M221" s="46">
        <f ca="1">IFERROR(__xludf.DUMMYFUNCTION("""COMPUTED_VALUE"""),0)</f>
        <v>0</v>
      </c>
      <c r="N221" s="46">
        <f ca="1">IFERROR(__xludf.DUMMYFUNCTION("""COMPUTED_VALUE"""),0)</f>
        <v>0</v>
      </c>
      <c r="O221" s="50">
        <f t="shared" ca="1" si="1"/>
        <v>8</v>
      </c>
    </row>
    <row r="222" spans="1:15" ht="12.75">
      <c r="A222" s="50" t="str">
        <f ca="1">IFERROR(__xludf.DUMMYFUNCTION("""COMPUTED_VALUE"""),"CD67")</f>
        <v>CD67</v>
      </c>
      <c r="B222" s="77" t="str">
        <f ca="1">IFERROR(__xludf.DUMMYFUNCTION("""COMPUTED_VALUE"""),"06670200")</f>
        <v>06670200</v>
      </c>
      <c r="C222" s="48" t="str">
        <f ca="1">IFERROR(__xludf.DUMMYFUNCTION("""COMPUTED_VALUE"""),"A.S. ALCATEL LUCENT ILLKIRCH")</f>
        <v>A.S. ALCATEL LUCENT ILLKIRCH</v>
      </c>
      <c r="D222" s="46">
        <f ca="1">IFERROR(__xludf.DUMMYFUNCTION("""COMPUTED_VALUE"""),0)</f>
        <v>0</v>
      </c>
      <c r="E222" s="46">
        <f ca="1">IFERROR(__xludf.DUMMYFUNCTION("""COMPUTED_VALUE"""),0)</f>
        <v>0</v>
      </c>
      <c r="F222" s="46">
        <f ca="1">IFERROR(__xludf.DUMMYFUNCTION("""COMPUTED_VALUE"""),0)</f>
        <v>0</v>
      </c>
      <c r="G222" s="46">
        <f ca="1">IFERROR(__xludf.DUMMYFUNCTION("""COMPUTED_VALUE"""),0)</f>
        <v>0</v>
      </c>
      <c r="H222" s="46">
        <f ca="1">IFERROR(__xludf.DUMMYFUNCTION("""COMPUTED_VALUE"""),0)</f>
        <v>0</v>
      </c>
      <c r="I222" s="46">
        <f ca="1">IFERROR(__xludf.DUMMYFUNCTION("""COMPUTED_VALUE"""),0)</f>
        <v>0</v>
      </c>
      <c r="J222" s="46">
        <f ca="1">IFERROR(__xludf.DUMMYFUNCTION("""COMPUTED_VALUE"""),0)</f>
        <v>0</v>
      </c>
      <c r="K222" s="46">
        <f ca="1">IFERROR(__xludf.DUMMYFUNCTION("""COMPUTED_VALUE"""),0)</f>
        <v>0</v>
      </c>
      <c r="L222" s="46">
        <f ca="1">IFERROR(__xludf.DUMMYFUNCTION("""COMPUTED_VALUE"""),0)</f>
        <v>0</v>
      </c>
      <c r="M222" s="46">
        <f ca="1">IFERROR(__xludf.DUMMYFUNCTION("""COMPUTED_VALUE"""),0)</f>
        <v>0</v>
      </c>
      <c r="N222" s="46">
        <f ca="1">IFERROR(__xludf.DUMMYFUNCTION("""COMPUTED_VALUE"""),0)</f>
        <v>0</v>
      </c>
      <c r="O222" s="50">
        <f t="shared" ca="1" si="1"/>
        <v>0</v>
      </c>
    </row>
    <row r="223" spans="1:15" ht="12.75">
      <c r="A223" s="50" t="str">
        <f ca="1">IFERROR(__xludf.DUMMYFUNCTION("""COMPUTED_VALUE"""),"CD67")</f>
        <v>CD67</v>
      </c>
      <c r="B223" s="77" t="str">
        <f ca="1">IFERROR(__xludf.DUMMYFUNCTION("""COMPUTED_VALUE"""),"06670201")</f>
        <v>06670201</v>
      </c>
      <c r="C223" s="48" t="str">
        <f ca="1">IFERROR(__xludf.DUMMYFUNCTION("""COMPUTED_VALUE"""),"ESCHAU CTT")</f>
        <v>ESCHAU CTT</v>
      </c>
      <c r="D223" s="46">
        <f ca="1">IFERROR(__xludf.DUMMYFUNCTION("""COMPUTED_VALUE"""),0)</f>
        <v>0</v>
      </c>
      <c r="E223" s="46">
        <f ca="1">IFERROR(__xludf.DUMMYFUNCTION("""COMPUTED_VALUE"""),0)</f>
        <v>0</v>
      </c>
      <c r="F223" s="46">
        <f ca="1">IFERROR(__xludf.DUMMYFUNCTION("""COMPUTED_VALUE"""),3)</f>
        <v>3</v>
      </c>
      <c r="G223" s="46">
        <f ca="1">IFERROR(__xludf.DUMMYFUNCTION("""COMPUTED_VALUE"""),0)</f>
        <v>0</v>
      </c>
      <c r="H223" s="46">
        <f ca="1">IFERROR(__xludf.DUMMYFUNCTION("""COMPUTED_VALUE"""),0)</f>
        <v>0</v>
      </c>
      <c r="I223" s="46">
        <f ca="1">IFERROR(__xludf.DUMMYFUNCTION("""COMPUTED_VALUE"""),3)</f>
        <v>3</v>
      </c>
      <c r="J223" s="46">
        <f ca="1">IFERROR(__xludf.DUMMYFUNCTION("""COMPUTED_VALUE"""),0)</f>
        <v>0</v>
      </c>
      <c r="K223" s="46">
        <f ca="1">IFERROR(__xludf.DUMMYFUNCTION("""COMPUTED_VALUE"""),0)</f>
        <v>0</v>
      </c>
      <c r="L223" s="46">
        <f ca="1">IFERROR(__xludf.DUMMYFUNCTION("""COMPUTED_VALUE"""),0)</f>
        <v>0</v>
      </c>
      <c r="M223" s="46">
        <f ca="1">IFERROR(__xludf.DUMMYFUNCTION("""COMPUTED_VALUE"""),0)</f>
        <v>0</v>
      </c>
      <c r="N223" s="46">
        <f ca="1">IFERROR(__xludf.DUMMYFUNCTION("""COMPUTED_VALUE"""),0)</f>
        <v>0</v>
      </c>
      <c r="O223" s="50">
        <f t="shared" ca="1" si="1"/>
        <v>6</v>
      </c>
    </row>
    <row r="224" spans="1:15" ht="12.75">
      <c r="A224" s="50" t="str">
        <f ca="1">IFERROR(__xludf.DUMMYFUNCTION("""COMPUTED_VALUE"""),"CD67")</f>
        <v>CD67</v>
      </c>
      <c r="B224" s="77" t="str">
        <f ca="1">IFERROR(__xludf.DUMMYFUNCTION("""COMPUTED_VALUE"""),"06670203")</f>
        <v>06670203</v>
      </c>
      <c r="C224" s="48" t="str">
        <f ca="1">IFERROR(__xludf.DUMMYFUNCTION("""COMPUTED_VALUE"""),"BETSCHDORF TT")</f>
        <v>BETSCHDORF TT</v>
      </c>
      <c r="D224" s="46">
        <f ca="1">IFERROR(__xludf.DUMMYFUNCTION("""COMPUTED_VALUE"""),0)</f>
        <v>0</v>
      </c>
      <c r="E224" s="46">
        <f ca="1">IFERROR(__xludf.DUMMYFUNCTION("""COMPUTED_VALUE"""),0)</f>
        <v>0</v>
      </c>
      <c r="F224" s="46">
        <f ca="1">IFERROR(__xludf.DUMMYFUNCTION("""COMPUTED_VALUE"""),3)</f>
        <v>3</v>
      </c>
      <c r="G224" s="46">
        <f ca="1">IFERROR(__xludf.DUMMYFUNCTION("""COMPUTED_VALUE"""),0)</f>
        <v>0</v>
      </c>
      <c r="H224" s="46">
        <f ca="1">IFERROR(__xludf.DUMMYFUNCTION("""COMPUTED_VALUE"""),0)</f>
        <v>0</v>
      </c>
      <c r="I224" s="46">
        <f ca="1">IFERROR(__xludf.DUMMYFUNCTION("""COMPUTED_VALUE"""),3)</f>
        <v>3</v>
      </c>
      <c r="J224" s="46">
        <f ca="1">IFERROR(__xludf.DUMMYFUNCTION("""COMPUTED_VALUE"""),0)</f>
        <v>0</v>
      </c>
      <c r="K224" s="46">
        <f ca="1">IFERROR(__xludf.DUMMYFUNCTION("""COMPUTED_VALUE"""),0)</f>
        <v>0</v>
      </c>
      <c r="L224" s="46">
        <f ca="1">IFERROR(__xludf.DUMMYFUNCTION("""COMPUTED_VALUE"""),0)</f>
        <v>0</v>
      </c>
      <c r="M224" s="46">
        <f ca="1">IFERROR(__xludf.DUMMYFUNCTION("""COMPUTED_VALUE"""),0)</f>
        <v>0</v>
      </c>
      <c r="N224" s="46">
        <f ca="1">IFERROR(__xludf.DUMMYFUNCTION("""COMPUTED_VALUE"""),0)</f>
        <v>0</v>
      </c>
      <c r="O224" s="50">
        <f t="shared" ca="1" si="1"/>
        <v>6</v>
      </c>
    </row>
    <row r="225" spans="1:15" ht="12.75">
      <c r="A225" s="50" t="str">
        <f ca="1">IFERROR(__xludf.DUMMYFUNCTION("""COMPUTED_VALUE"""),"CD67")</f>
        <v>CD67</v>
      </c>
      <c r="B225" s="77" t="str">
        <f ca="1">IFERROR(__xludf.DUMMYFUNCTION("""COMPUTED_VALUE"""),"06670207")</f>
        <v>06670207</v>
      </c>
      <c r="C225" s="48" t="str">
        <f ca="1">IFERROR(__xludf.DUMMYFUNCTION("""COMPUTED_VALUE"""),"BERSTETT T.T.")</f>
        <v>BERSTETT T.T.</v>
      </c>
      <c r="D225" s="46">
        <f ca="1">IFERROR(__xludf.DUMMYFUNCTION("""COMPUTED_VALUE"""),0)</f>
        <v>0</v>
      </c>
      <c r="E225" s="46">
        <f ca="1">IFERROR(__xludf.DUMMYFUNCTION("""COMPUTED_VALUE"""),0)</f>
        <v>0</v>
      </c>
      <c r="F225" s="46">
        <f ca="1">IFERROR(__xludf.DUMMYFUNCTION("""COMPUTED_VALUE"""),0)</f>
        <v>0</v>
      </c>
      <c r="G225" s="46">
        <f ca="1">IFERROR(__xludf.DUMMYFUNCTION("""COMPUTED_VALUE"""),0)</f>
        <v>0</v>
      </c>
      <c r="H225" s="46">
        <f ca="1">IFERROR(__xludf.DUMMYFUNCTION("""COMPUTED_VALUE"""),0)</f>
        <v>0</v>
      </c>
      <c r="I225" s="46">
        <f ca="1">IFERROR(__xludf.DUMMYFUNCTION("""COMPUTED_VALUE"""),0)</f>
        <v>0</v>
      </c>
      <c r="J225" s="46">
        <f ca="1">IFERROR(__xludf.DUMMYFUNCTION("""COMPUTED_VALUE"""),0)</f>
        <v>0</v>
      </c>
      <c r="K225" s="46">
        <f ca="1">IFERROR(__xludf.DUMMYFUNCTION("""COMPUTED_VALUE"""),0)</f>
        <v>0</v>
      </c>
      <c r="L225" s="46">
        <f ca="1">IFERROR(__xludf.DUMMYFUNCTION("""COMPUTED_VALUE"""),0)</f>
        <v>0</v>
      </c>
      <c r="M225" s="46">
        <f ca="1">IFERROR(__xludf.DUMMYFUNCTION("""COMPUTED_VALUE"""),0)</f>
        <v>0</v>
      </c>
      <c r="N225" s="46">
        <f ca="1">IFERROR(__xludf.DUMMYFUNCTION("""COMPUTED_VALUE"""),0)</f>
        <v>0</v>
      </c>
      <c r="O225" s="50">
        <f t="shared" ca="1" si="1"/>
        <v>0</v>
      </c>
    </row>
    <row r="226" spans="1:15" ht="12.75">
      <c r="A226" s="50" t="str">
        <f ca="1">IFERROR(__xludf.DUMMYFUNCTION("""COMPUTED_VALUE"""),"CD67")</f>
        <v>CD67</v>
      </c>
      <c r="B226" s="77" t="str">
        <f ca="1">IFERROR(__xludf.DUMMYFUNCTION("""COMPUTED_VALUE"""),"06670212")</f>
        <v>06670212</v>
      </c>
      <c r="C226" s="48" t="str">
        <f ca="1">IFERROR(__xludf.DUMMYFUNCTION("""COMPUTED_VALUE"""),"LEUTENHEIM C.T.T.")</f>
        <v>LEUTENHEIM C.T.T.</v>
      </c>
      <c r="D226" s="46">
        <f ca="1">IFERROR(__xludf.DUMMYFUNCTION("""COMPUTED_VALUE"""),0)</f>
        <v>0</v>
      </c>
      <c r="E226" s="46">
        <f ca="1">IFERROR(__xludf.DUMMYFUNCTION("""COMPUTED_VALUE"""),0)</f>
        <v>0</v>
      </c>
      <c r="F226" s="46">
        <f ca="1">IFERROR(__xludf.DUMMYFUNCTION("""COMPUTED_VALUE"""),2)</f>
        <v>2</v>
      </c>
      <c r="G226" s="46">
        <f ca="1">IFERROR(__xludf.DUMMYFUNCTION("""COMPUTED_VALUE"""),0)</f>
        <v>0</v>
      </c>
      <c r="H226" s="46">
        <f ca="1">IFERROR(__xludf.DUMMYFUNCTION("""COMPUTED_VALUE"""),0)</f>
        <v>0</v>
      </c>
      <c r="I226" s="46">
        <f ca="1">IFERROR(__xludf.DUMMYFUNCTION("""COMPUTED_VALUE"""),1)</f>
        <v>1</v>
      </c>
      <c r="J226" s="46">
        <f ca="1">IFERROR(__xludf.DUMMYFUNCTION("""COMPUTED_VALUE"""),0)</f>
        <v>0</v>
      </c>
      <c r="K226" s="46">
        <f ca="1">IFERROR(__xludf.DUMMYFUNCTION("""COMPUTED_VALUE"""),0)</f>
        <v>0</v>
      </c>
      <c r="L226" s="46">
        <f ca="1">IFERROR(__xludf.DUMMYFUNCTION("""COMPUTED_VALUE"""),0)</f>
        <v>0</v>
      </c>
      <c r="M226" s="46">
        <f ca="1">IFERROR(__xludf.DUMMYFUNCTION("""COMPUTED_VALUE"""),0)</f>
        <v>0</v>
      </c>
      <c r="N226" s="46">
        <f ca="1">IFERROR(__xludf.DUMMYFUNCTION("""COMPUTED_VALUE"""),0)</f>
        <v>0</v>
      </c>
      <c r="O226" s="50">
        <f t="shared" ca="1" si="1"/>
        <v>3</v>
      </c>
    </row>
    <row r="227" spans="1:15" ht="12.75">
      <c r="A227" s="50" t="str">
        <f ca="1">IFERROR(__xludf.DUMMYFUNCTION("""COMPUTED_VALUE"""),"CD67")</f>
        <v>CD67</v>
      </c>
      <c r="B227" s="77" t="str">
        <f ca="1">IFERROR(__xludf.DUMMYFUNCTION("""COMPUTED_VALUE"""),"06670216")</f>
        <v>06670216</v>
      </c>
      <c r="C227" s="48" t="str">
        <f ca="1">IFERROR(__xludf.DUMMYFUNCTION("""COMPUTED_VALUE"""),"HOERDT T.T.")</f>
        <v>HOERDT T.T.</v>
      </c>
      <c r="D227" s="46">
        <f ca="1">IFERROR(__xludf.DUMMYFUNCTION("""COMPUTED_VALUE"""),1)</f>
        <v>1</v>
      </c>
      <c r="E227" s="46">
        <f ca="1">IFERROR(__xludf.DUMMYFUNCTION("""COMPUTED_VALUE"""),0)</f>
        <v>0</v>
      </c>
      <c r="F227" s="46">
        <f ca="1">IFERROR(__xludf.DUMMYFUNCTION("""COMPUTED_VALUE"""),4)</f>
        <v>4</v>
      </c>
      <c r="G227" s="46">
        <f ca="1">IFERROR(__xludf.DUMMYFUNCTION("""COMPUTED_VALUE"""),0)</f>
        <v>0</v>
      </c>
      <c r="H227" s="46">
        <f ca="1">IFERROR(__xludf.DUMMYFUNCTION("""COMPUTED_VALUE"""),0)</f>
        <v>0</v>
      </c>
      <c r="I227" s="46">
        <f ca="1">IFERROR(__xludf.DUMMYFUNCTION("""COMPUTED_VALUE"""),3)</f>
        <v>3</v>
      </c>
      <c r="J227" s="46">
        <f ca="1">IFERROR(__xludf.DUMMYFUNCTION("""COMPUTED_VALUE"""),1)</f>
        <v>1</v>
      </c>
      <c r="K227" s="46">
        <f ca="1">IFERROR(__xludf.DUMMYFUNCTION("""COMPUTED_VALUE"""),0)</f>
        <v>0</v>
      </c>
      <c r="L227" s="46">
        <f ca="1">IFERROR(__xludf.DUMMYFUNCTION("""COMPUTED_VALUE"""),0)</f>
        <v>0</v>
      </c>
      <c r="M227" s="46">
        <f ca="1">IFERROR(__xludf.DUMMYFUNCTION("""COMPUTED_VALUE"""),0)</f>
        <v>0</v>
      </c>
      <c r="N227" s="46">
        <f ca="1">IFERROR(__xludf.DUMMYFUNCTION("""COMPUTED_VALUE"""),0)</f>
        <v>0</v>
      </c>
      <c r="O227" s="50">
        <f t="shared" ca="1" si="1"/>
        <v>9</v>
      </c>
    </row>
    <row r="228" spans="1:15" ht="12.75">
      <c r="A228" s="50" t="str">
        <f ca="1">IFERROR(__xludf.DUMMYFUNCTION("""COMPUTED_VALUE"""),"CD67")</f>
        <v>CD67</v>
      </c>
      <c r="B228" s="77" t="str">
        <f ca="1">IFERROR(__xludf.DUMMYFUNCTION("""COMPUTED_VALUE"""),"06670219")</f>
        <v>06670219</v>
      </c>
      <c r="C228" s="48" t="str">
        <f ca="1">IFERROR(__xludf.DUMMYFUNCTION("""COMPUTED_VALUE"""),"BEINHEIM C.T.T.B.")</f>
        <v>BEINHEIM C.T.T.B.</v>
      </c>
      <c r="D228" s="46">
        <f ca="1">IFERROR(__xludf.DUMMYFUNCTION("""COMPUTED_VALUE"""),0)</f>
        <v>0</v>
      </c>
      <c r="E228" s="46">
        <f ca="1">IFERROR(__xludf.DUMMYFUNCTION("""COMPUTED_VALUE"""),0)</f>
        <v>0</v>
      </c>
      <c r="F228" s="46">
        <f ca="1">IFERROR(__xludf.DUMMYFUNCTION("""COMPUTED_VALUE"""),1)</f>
        <v>1</v>
      </c>
      <c r="G228" s="46">
        <f ca="1">IFERROR(__xludf.DUMMYFUNCTION("""COMPUTED_VALUE"""),0)</f>
        <v>0</v>
      </c>
      <c r="H228" s="46">
        <f ca="1">IFERROR(__xludf.DUMMYFUNCTION("""COMPUTED_VALUE"""),0)</f>
        <v>0</v>
      </c>
      <c r="I228" s="46">
        <f ca="1">IFERROR(__xludf.DUMMYFUNCTION("""COMPUTED_VALUE"""),0)</f>
        <v>0</v>
      </c>
      <c r="J228" s="46">
        <f ca="1">IFERROR(__xludf.DUMMYFUNCTION("""COMPUTED_VALUE"""),0)</f>
        <v>0</v>
      </c>
      <c r="K228" s="46">
        <f ca="1">IFERROR(__xludf.DUMMYFUNCTION("""COMPUTED_VALUE"""),0)</f>
        <v>0</v>
      </c>
      <c r="L228" s="46">
        <f ca="1">IFERROR(__xludf.DUMMYFUNCTION("""COMPUTED_VALUE"""),0)</f>
        <v>0</v>
      </c>
      <c r="M228" s="46">
        <f ca="1">IFERROR(__xludf.DUMMYFUNCTION("""COMPUTED_VALUE"""),0)</f>
        <v>0</v>
      </c>
      <c r="N228" s="46">
        <f ca="1">IFERROR(__xludf.DUMMYFUNCTION("""COMPUTED_VALUE"""),0)</f>
        <v>0</v>
      </c>
      <c r="O228" s="50">
        <f t="shared" ca="1" si="1"/>
        <v>1</v>
      </c>
    </row>
    <row r="229" spans="1:15" ht="12.75">
      <c r="A229" s="50" t="str">
        <f ca="1">IFERROR(__xludf.DUMMYFUNCTION("""COMPUTED_VALUE"""),"CD67")</f>
        <v>CD67</v>
      </c>
      <c r="B229" s="77" t="str">
        <f ca="1">IFERROR(__xludf.DUMMYFUNCTION("""COMPUTED_VALUE"""),"06670221")</f>
        <v>06670221</v>
      </c>
      <c r="C229" s="48" t="str">
        <f ca="1">IFERROR(__xludf.DUMMYFUNCTION("""COMPUTED_VALUE"""),"BARR Tennis de Table")</f>
        <v>BARR Tennis de Table</v>
      </c>
      <c r="D229" s="46">
        <f ca="1">IFERROR(__xludf.DUMMYFUNCTION("""COMPUTED_VALUE"""),2)</f>
        <v>2</v>
      </c>
      <c r="E229" s="46">
        <f ca="1">IFERROR(__xludf.DUMMYFUNCTION("""COMPUTED_VALUE"""),0)</f>
        <v>0</v>
      </c>
      <c r="F229" s="46">
        <f ca="1">IFERROR(__xludf.DUMMYFUNCTION("""COMPUTED_VALUE"""),4)</f>
        <v>4</v>
      </c>
      <c r="G229" s="46">
        <f ca="1">IFERROR(__xludf.DUMMYFUNCTION("""COMPUTED_VALUE"""),0)</f>
        <v>0</v>
      </c>
      <c r="H229" s="46">
        <f ca="1">IFERROR(__xludf.DUMMYFUNCTION("""COMPUTED_VALUE"""),0)</f>
        <v>0</v>
      </c>
      <c r="I229" s="46">
        <f ca="1">IFERROR(__xludf.DUMMYFUNCTION("""COMPUTED_VALUE"""),4)</f>
        <v>4</v>
      </c>
      <c r="J229" s="46">
        <f ca="1">IFERROR(__xludf.DUMMYFUNCTION("""COMPUTED_VALUE"""),0)</f>
        <v>0</v>
      </c>
      <c r="K229" s="46">
        <f ca="1">IFERROR(__xludf.DUMMYFUNCTION("""COMPUTED_VALUE"""),0)</f>
        <v>0</v>
      </c>
      <c r="L229" s="46">
        <f ca="1">IFERROR(__xludf.DUMMYFUNCTION("""COMPUTED_VALUE"""),0)</f>
        <v>0</v>
      </c>
      <c r="M229" s="46">
        <f ca="1">IFERROR(__xludf.DUMMYFUNCTION("""COMPUTED_VALUE"""),0)</f>
        <v>0</v>
      </c>
      <c r="N229" s="46">
        <f ca="1">IFERROR(__xludf.DUMMYFUNCTION("""COMPUTED_VALUE"""),0)</f>
        <v>0</v>
      </c>
      <c r="O229" s="50">
        <f t="shared" ca="1" si="1"/>
        <v>10</v>
      </c>
    </row>
    <row r="230" spans="1:15" ht="12.75">
      <c r="A230" s="50" t="str">
        <f ca="1">IFERROR(__xludf.DUMMYFUNCTION("""COMPUTED_VALUE"""),"CD67")</f>
        <v>CD67</v>
      </c>
      <c r="B230" s="77" t="str">
        <f ca="1">IFERROR(__xludf.DUMMYFUNCTION("""COMPUTED_VALUE"""),"06670233")</f>
        <v>06670233</v>
      </c>
      <c r="C230" s="48" t="str">
        <f ca="1">IFERROR(__xludf.DUMMYFUNCTION("""COMPUTED_VALUE"""),"DRULINGEN T.T")</f>
        <v>DRULINGEN T.T</v>
      </c>
      <c r="D230" s="46">
        <f ca="1">IFERROR(__xludf.DUMMYFUNCTION("""COMPUTED_VALUE"""),0)</f>
        <v>0</v>
      </c>
      <c r="E230" s="46">
        <f ca="1">IFERROR(__xludf.DUMMYFUNCTION("""COMPUTED_VALUE"""),0)</f>
        <v>0</v>
      </c>
      <c r="F230" s="46">
        <f ca="1">IFERROR(__xludf.DUMMYFUNCTION("""COMPUTED_VALUE"""),0)</f>
        <v>0</v>
      </c>
      <c r="G230" s="46">
        <f ca="1">IFERROR(__xludf.DUMMYFUNCTION("""COMPUTED_VALUE"""),0)</f>
        <v>0</v>
      </c>
      <c r="H230" s="46">
        <f ca="1">IFERROR(__xludf.DUMMYFUNCTION("""COMPUTED_VALUE"""),0)</f>
        <v>0</v>
      </c>
      <c r="I230" s="46">
        <f ca="1">IFERROR(__xludf.DUMMYFUNCTION("""COMPUTED_VALUE"""),0)</f>
        <v>0</v>
      </c>
      <c r="J230" s="46">
        <f ca="1">IFERROR(__xludf.DUMMYFUNCTION("""COMPUTED_VALUE"""),0)</f>
        <v>0</v>
      </c>
      <c r="K230" s="46">
        <f ca="1">IFERROR(__xludf.DUMMYFUNCTION("""COMPUTED_VALUE"""),0)</f>
        <v>0</v>
      </c>
      <c r="L230" s="46">
        <f ca="1">IFERROR(__xludf.DUMMYFUNCTION("""COMPUTED_VALUE"""),0)</f>
        <v>0</v>
      </c>
      <c r="M230" s="46">
        <f ca="1">IFERROR(__xludf.DUMMYFUNCTION("""COMPUTED_VALUE"""),0)</f>
        <v>0</v>
      </c>
      <c r="N230" s="46">
        <f ca="1">IFERROR(__xludf.DUMMYFUNCTION("""COMPUTED_VALUE"""),0)</f>
        <v>0</v>
      </c>
      <c r="O230" s="50">
        <f t="shared" ca="1" si="1"/>
        <v>0</v>
      </c>
    </row>
    <row r="231" spans="1:15" ht="12.75">
      <c r="A231" s="50" t="str">
        <f ca="1">IFERROR(__xludf.DUMMYFUNCTION("""COMPUTED_VALUE"""),"CD67")</f>
        <v>CD67</v>
      </c>
      <c r="B231" s="77" t="str">
        <f ca="1">IFERROR(__xludf.DUMMYFUNCTION("""COMPUTED_VALUE"""),"06670246")</f>
        <v>06670246</v>
      </c>
      <c r="C231" s="48" t="str">
        <f ca="1">IFERROR(__xludf.DUMMYFUNCTION("""COMPUTED_VALUE"""),"GRIESHEIM DINGSHEIM TT")</f>
        <v>GRIESHEIM DINGSHEIM TT</v>
      </c>
      <c r="D231" s="46">
        <f ca="1">IFERROR(__xludf.DUMMYFUNCTION("""COMPUTED_VALUE"""),0)</f>
        <v>0</v>
      </c>
      <c r="E231" s="46">
        <f ca="1">IFERROR(__xludf.DUMMYFUNCTION("""COMPUTED_VALUE"""),0)</f>
        <v>0</v>
      </c>
      <c r="F231" s="46">
        <f ca="1">IFERROR(__xludf.DUMMYFUNCTION("""COMPUTED_VALUE"""),1)</f>
        <v>1</v>
      </c>
      <c r="G231" s="46">
        <f ca="1">IFERROR(__xludf.DUMMYFUNCTION("""COMPUTED_VALUE"""),1)</f>
        <v>1</v>
      </c>
      <c r="H231" s="46">
        <f ca="1">IFERROR(__xludf.DUMMYFUNCTION("""COMPUTED_VALUE"""),0)</f>
        <v>0</v>
      </c>
      <c r="I231" s="46">
        <f ca="1">IFERROR(__xludf.DUMMYFUNCTION("""COMPUTED_VALUE"""),0)</f>
        <v>0</v>
      </c>
      <c r="J231" s="46">
        <f ca="1">IFERROR(__xludf.DUMMYFUNCTION("""COMPUTED_VALUE"""),0)</f>
        <v>0</v>
      </c>
      <c r="K231" s="46">
        <f ca="1">IFERROR(__xludf.DUMMYFUNCTION("""COMPUTED_VALUE"""),1)</f>
        <v>1</v>
      </c>
      <c r="L231" s="46">
        <f ca="1">IFERROR(__xludf.DUMMYFUNCTION("""COMPUTED_VALUE"""),0)</f>
        <v>0</v>
      </c>
      <c r="M231" s="46">
        <f ca="1">IFERROR(__xludf.DUMMYFUNCTION("""COMPUTED_VALUE"""),0)</f>
        <v>0</v>
      </c>
      <c r="N231" s="46">
        <f ca="1">IFERROR(__xludf.DUMMYFUNCTION("""COMPUTED_VALUE"""),0)</f>
        <v>0</v>
      </c>
      <c r="O231" s="50">
        <f t="shared" ca="1" si="1"/>
        <v>3</v>
      </c>
    </row>
    <row r="232" spans="1:15" ht="12.75">
      <c r="A232" s="50" t="str">
        <f ca="1">IFERROR(__xludf.DUMMYFUNCTION("""COMPUTED_VALUE"""),"CD67")</f>
        <v>CD67</v>
      </c>
      <c r="B232" s="77" t="str">
        <f ca="1">IFERROR(__xludf.DUMMYFUNCTION("""COMPUTED_VALUE"""),"06670247")</f>
        <v>06670247</v>
      </c>
      <c r="C232" s="48" t="str">
        <f ca="1">IFERROR(__xludf.DUMMYFUNCTION("""COMPUTED_VALUE"""),"CHATENOIS C.C.A.")</f>
        <v>CHATENOIS C.C.A.</v>
      </c>
      <c r="D232" s="46">
        <f ca="1">IFERROR(__xludf.DUMMYFUNCTION("""COMPUTED_VALUE"""),0)</f>
        <v>0</v>
      </c>
      <c r="E232" s="46">
        <f ca="1">IFERROR(__xludf.DUMMYFUNCTION("""COMPUTED_VALUE"""),0)</f>
        <v>0</v>
      </c>
      <c r="F232" s="46">
        <f ca="1">IFERROR(__xludf.DUMMYFUNCTION("""COMPUTED_VALUE"""),0)</f>
        <v>0</v>
      </c>
      <c r="G232" s="46">
        <f ca="1">IFERROR(__xludf.DUMMYFUNCTION("""COMPUTED_VALUE"""),0)</f>
        <v>0</v>
      </c>
      <c r="H232" s="46">
        <f ca="1">IFERROR(__xludf.DUMMYFUNCTION("""COMPUTED_VALUE"""),0)</f>
        <v>0</v>
      </c>
      <c r="I232" s="46">
        <f ca="1">IFERROR(__xludf.DUMMYFUNCTION("""COMPUTED_VALUE"""),0)</f>
        <v>0</v>
      </c>
      <c r="J232" s="46">
        <f ca="1">IFERROR(__xludf.DUMMYFUNCTION("""COMPUTED_VALUE"""),0)</f>
        <v>0</v>
      </c>
      <c r="K232" s="46">
        <f ca="1">IFERROR(__xludf.DUMMYFUNCTION("""COMPUTED_VALUE"""),0)</f>
        <v>0</v>
      </c>
      <c r="L232" s="46">
        <f ca="1">IFERROR(__xludf.DUMMYFUNCTION("""COMPUTED_VALUE"""),0)</f>
        <v>0</v>
      </c>
      <c r="M232" s="46">
        <f ca="1">IFERROR(__xludf.DUMMYFUNCTION("""COMPUTED_VALUE"""),0)</f>
        <v>0</v>
      </c>
      <c r="N232" s="46">
        <f ca="1">IFERROR(__xludf.DUMMYFUNCTION("""COMPUTED_VALUE"""),0)</f>
        <v>0</v>
      </c>
      <c r="O232" s="50">
        <f t="shared" ca="1" si="1"/>
        <v>0</v>
      </c>
    </row>
    <row r="233" spans="1:15" ht="12.75">
      <c r="A233" s="50" t="str">
        <f ca="1">IFERROR(__xludf.DUMMYFUNCTION("""COMPUTED_VALUE"""),"CD67")</f>
        <v>CD67</v>
      </c>
      <c r="B233" s="77" t="str">
        <f ca="1">IFERROR(__xludf.DUMMYFUNCTION("""COMPUTED_VALUE"""),"06670248")</f>
        <v>06670248</v>
      </c>
      <c r="C233" s="48" t="str">
        <f ca="1">IFERROR(__xludf.DUMMYFUNCTION("""COMPUTED_VALUE"""),"MARMOUTIER CSE")</f>
        <v>MARMOUTIER CSE</v>
      </c>
      <c r="D233" s="46">
        <f ca="1">IFERROR(__xludf.DUMMYFUNCTION("""COMPUTED_VALUE"""),6)</f>
        <v>6</v>
      </c>
      <c r="E233" s="46">
        <f ca="1">IFERROR(__xludf.DUMMYFUNCTION("""COMPUTED_VALUE"""),0)</f>
        <v>0</v>
      </c>
      <c r="F233" s="46">
        <f ca="1">IFERROR(__xludf.DUMMYFUNCTION("""COMPUTED_VALUE"""),3)</f>
        <v>3</v>
      </c>
      <c r="G233" s="46">
        <f ca="1">IFERROR(__xludf.DUMMYFUNCTION("""COMPUTED_VALUE"""),0)</f>
        <v>0</v>
      </c>
      <c r="H233" s="46">
        <f ca="1">IFERROR(__xludf.DUMMYFUNCTION("""COMPUTED_VALUE"""),0)</f>
        <v>0</v>
      </c>
      <c r="I233" s="46">
        <f ca="1">IFERROR(__xludf.DUMMYFUNCTION("""COMPUTED_VALUE"""),3)</f>
        <v>3</v>
      </c>
      <c r="J233" s="46">
        <f ca="1">IFERROR(__xludf.DUMMYFUNCTION("""COMPUTED_VALUE"""),0)</f>
        <v>0</v>
      </c>
      <c r="K233" s="46">
        <f ca="1">IFERROR(__xludf.DUMMYFUNCTION("""COMPUTED_VALUE"""),0)</f>
        <v>0</v>
      </c>
      <c r="L233" s="46">
        <f ca="1">IFERROR(__xludf.DUMMYFUNCTION("""COMPUTED_VALUE"""),0)</f>
        <v>0</v>
      </c>
      <c r="M233" s="46">
        <f ca="1">IFERROR(__xludf.DUMMYFUNCTION("""COMPUTED_VALUE"""),0)</f>
        <v>0</v>
      </c>
      <c r="N233" s="46">
        <f ca="1">IFERROR(__xludf.DUMMYFUNCTION("""COMPUTED_VALUE"""),0)</f>
        <v>0</v>
      </c>
      <c r="O233" s="50">
        <f t="shared" ca="1" si="1"/>
        <v>12</v>
      </c>
    </row>
    <row r="234" spans="1:15" ht="12.75">
      <c r="A234" s="50" t="str">
        <f ca="1">IFERROR(__xludf.DUMMYFUNCTION("""COMPUTED_VALUE"""),"CD67")</f>
        <v>CD67</v>
      </c>
      <c r="B234" s="77" t="str">
        <f ca="1">IFERROR(__xludf.DUMMYFUNCTION("""COMPUTED_VALUE"""),"06670254")</f>
        <v>06670254</v>
      </c>
      <c r="C234" s="48" t="str">
        <f ca="1">IFERROR(__xludf.DUMMYFUNCTION("""COMPUTED_VALUE"""),"Hopitaux Universit. Strasbourg")</f>
        <v>Hopitaux Universit. Strasbourg</v>
      </c>
      <c r="D234" s="46">
        <f ca="1">IFERROR(__xludf.DUMMYFUNCTION("""COMPUTED_VALUE"""),0)</f>
        <v>0</v>
      </c>
      <c r="E234" s="46">
        <f ca="1">IFERROR(__xludf.DUMMYFUNCTION("""COMPUTED_VALUE"""),0)</f>
        <v>0</v>
      </c>
      <c r="F234" s="46">
        <f ca="1">IFERROR(__xludf.DUMMYFUNCTION("""COMPUTED_VALUE"""),0)</f>
        <v>0</v>
      </c>
      <c r="G234" s="46">
        <f ca="1">IFERROR(__xludf.DUMMYFUNCTION("""COMPUTED_VALUE"""),0)</f>
        <v>0</v>
      </c>
      <c r="H234" s="46">
        <f ca="1">IFERROR(__xludf.DUMMYFUNCTION("""COMPUTED_VALUE"""),0)</f>
        <v>0</v>
      </c>
      <c r="I234" s="46">
        <f ca="1">IFERROR(__xludf.DUMMYFUNCTION("""COMPUTED_VALUE"""),0)</f>
        <v>0</v>
      </c>
      <c r="J234" s="46">
        <f ca="1">IFERROR(__xludf.DUMMYFUNCTION("""COMPUTED_VALUE"""),0)</f>
        <v>0</v>
      </c>
      <c r="K234" s="46">
        <f ca="1">IFERROR(__xludf.DUMMYFUNCTION("""COMPUTED_VALUE"""),0)</f>
        <v>0</v>
      </c>
      <c r="L234" s="46">
        <f ca="1">IFERROR(__xludf.DUMMYFUNCTION("""COMPUTED_VALUE"""),0)</f>
        <v>0</v>
      </c>
      <c r="M234" s="46">
        <f ca="1">IFERROR(__xludf.DUMMYFUNCTION("""COMPUTED_VALUE"""),0)</f>
        <v>0</v>
      </c>
      <c r="N234" s="46">
        <f ca="1">IFERROR(__xludf.DUMMYFUNCTION("""COMPUTED_VALUE"""),0)</f>
        <v>0</v>
      </c>
      <c r="O234" s="50">
        <f t="shared" ca="1" si="1"/>
        <v>0</v>
      </c>
    </row>
    <row r="235" spans="1:15" ht="12.75">
      <c r="A235" s="50" t="str">
        <f ca="1">IFERROR(__xludf.DUMMYFUNCTION("""COMPUTED_VALUE"""),"CD67")</f>
        <v>CD67</v>
      </c>
      <c r="B235" s="77" t="str">
        <f ca="1">IFERROR(__xludf.DUMMYFUNCTION("""COMPUTED_VALUE"""),"06670256")</f>
        <v>06670256</v>
      </c>
      <c r="C235" s="48" t="str">
        <f ca="1">IFERROR(__xludf.DUMMYFUNCTION("""COMPUTED_VALUE"""),"LILLY AS Tennis de Table")</f>
        <v>LILLY AS Tennis de Table</v>
      </c>
      <c r="D235" s="46">
        <f ca="1">IFERROR(__xludf.DUMMYFUNCTION("""COMPUTED_VALUE"""),0)</f>
        <v>0</v>
      </c>
      <c r="E235" s="46">
        <f ca="1">IFERROR(__xludf.DUMMYFUNCTION("""COMPUTED_VALUE"""),0)</f>
        <v>0</v>
      </c>
      <c r="F235" s="46">
        <f ca="1">IFERROR(__xludf.DUMMYFUNCTION("""COMPUTED_VALUE"""),0)</f>
        <v>0</v>
      </c>
      <c r="G235" s="46">
        <f ca="1">IFERROR(__xludf.DUMMYFUNCTION("""COMPUTED_VALUE"""),0)</f>
        <v>0</v>
      </c>
      <c r="H235" s="46">
        <f ca="1">IFERROR(__xludf.DUMMYFUNCTION("""COMPUTED_VALUE"""),0)</f>
        <v>0</v>
      </c>
      <c r="I235" s="46">
        <f ca="1">IFERROR(__xludf.DUMMYFUNCTION("""COMPUTED_VALUE"""),0)</f>
        <v>0</v>
      </c>
      <c r="J235" s="46">
        <f ca="1">IFERROR(__xludf.DUMMYFUNCTION("""COMPUTED_VALUE"""),0)</f>
        <v>0</v>
      </c>
      <c r="K235" s="46">
        <f ca="1">IFERROR(__xludf.DUMMYFUNCTION("""COMPUTED_VALUE"""),0)</f>
        <v>0</v>
      </c>
      <c r="L235" s="46">
        <f ca="1">IFERROR(__xludf.DUMMYFUNCTION("""COMPUTED_VALUE"""),0)</f>
        <v>0</v>
      </c>
      <c r="M235" s="46">
        <f ca="1">IFERROR(__xludf.DUMMYFUNCTION("""COMPUTED_VALUE"""),0)</f>
        <v>0</v>
      </c>
      <c r="N235" s="46">
        <f ca="1">IFERROR(__xludf.DUMMYFUNCTION("""COMPUTED_VALUE"""),0)</f>
        <v>0</v>
      </c>
      <c r="O235" s="50">
        <f t="shared" ca="1" si="1"/>
        <v>0</v>
      </c>
    </row>
    <row r="236" spans="1:15" ht="12.75">
      <c r="A236" s="50" t="str">
        <f ca="1">IFERROR(__xludf.DUMMYFUNCTION("""COMPUTED_VALUE"""),"CD67")</f>
        <v>CD67</v>
      </c>
      <c r="B236" s="77" t="str">
        <f ca="1">IFERROR(__xludf.DUMMYFUNCTION("""COMPUTED_VALUE"""),"06670257")</f>
        <v>06670257</v>
      </c>
      <c r="C236" s="48" t="str">
        <f ca="1">IFERROR(__xludf.DUMMYFUNCTION("""COMPUTED_VALUE"""),"AMICALE PONGISTE WOLXHEIM")</f>
        <v>AMICALE PONGISTE WOLXHEIM</v>
      </c>
      <c r="D236" s="46">
        <f ca="1">IFERROR(__xludf.DUMMYFUNCTION("""COMPUTED_VALUE"""),0)</f>
        <v>0</v>
      </c>
      <c r="E236" s="46">
        <f ca="1">IFERROR(__xludf.DUMMYFUNCTION("""COMPUTED_VALUE"""),0)</f>
        <v>0</v>
      </c>
      <c r="F236" s="46">
        <f ca="1">IFERROR(__xludf.DUMMYFUNCTION("""COMPUTED_VALUE"""),2)</f>
        <v>2</v>
      </c>
      <c r="G236" s="46">
        <f ca="1">IFERROR(__xludf.DUMMYFUNCTION("""COMPUTED_VALUE"""),0)</f>
        <v>0</v>
      </c>
      <c r="H236" s="46">
        <f ca="1">IFERROR(__xludf.DUMMYFUNCTION("""COMPUTED_VALUE"""),0)</f>
        <v>0</v>
      </c>
      <c r="I236" s="46">
        <f ca="1">IFERROR(__xludf.DUMMYFUNCTION("""COMPUTED_VALUE"""),2)</f>
        <v>2</v>
      </c>
      <c r="J236" s="46">
        <f ca="1">IFERROR(__xludf.DUMMYFUNCTION("""COMPUTED_VALUE"""),0)</f>
        <v>0</v>
      </c>
      <c r="K236" s="46">
        <f ca="1">IFERROR(__xludf.DUMMYFUNCTION("""COMPUTED_VALUE"""),0)</f>
        <v>0</v>
      </c>
      <c r="L236" s="46">
        <f ca="1">IFERROR(__xludf.DUMMYFUNCTION("""COMPUTED_VALUE"""),0)</f>
        <v>0</v>
      </c>
      <c r="M236" s="46">
        <f ca="1">IFERROR(__xludf.DUMMYFUNCTION("""COMPUTED_VALUE"""),0)</f>
        <v>0</v>
      </c>
      <c r="N236" s="46">
        <f ca="1">IFERROR(__xludf.DUMMYFUNCTION("""COMPUTED_VALUE"""),0)</f>
        <v>0</v>
      </c>
      <c r="O236" s="50">
        <f t="shared" ca="1" si="1"/>
        <v>4</v>
      </c>
    </row>
    <row r="237" spans="1:15" ht="12.75">
      <c r="A237" s="50" t="str">
        <f ca="1">IFERROR(__xludf.DUMMYFUNCTION("""COMPUTED_VALUE"""),"CD67")</f>
        <v>CD67</v>
      </c>
      <c r="B237" s="77" t="str">
        <f ca="1">IFERROR(__xludf.DUMMYFUNCTION("""COMPUTED_VALUE"""),"06670260")</f>
        <v>06670260</v>
      </c>
      <c r="C237" s="48" t="str">
        <f ca="1">IFERROR(__xludf.DUMMYFUNCTION("""COMPUTED_VALUE"""),"SARRE-UNION CTT")</f>
        <v>SARRE-UNION CTT</v>
      </c>
      <c r="D237" s="46">
        <f ca="1">IFERROR(__xludf.DUMMYFUNCTION("""COMPUTED_VALUE"""),0)</f>
        <v>0</v>
      </c>
      <c r="E237" s="46">
        <f ca="1">IFERROR(__xludf.DUMMYFUNCTION("""COMPUTED_VALUE"""),0)</f>
        <v>0</v>
      </c>
      <c r="F237" s="46">
        <f ca="1">IFERROR(__xludf.DUMMYFUNCTION("""COMPUTED_VALUE"""),3)</f>
        <v>3</v>
      </c>
      <c r="G237" s="46">
        <f ca="1">IFERROR(__xludf.DUMMYFUNCTION("""COMPUTED_VALUE"""),0)</f>
        <v>0</v>
      </c>
      <c r="H237" s="46">
        <f ca="1">IFERROR(__xludf.DUMMYFUNCTION("""COMPUTED_VALUE"""),0)</f>
        <v>0</v>
      </c>
      <c r="I237" s="46">
        <f ca="1">IFERROR(__xludf.DUMMYFUNCTION("""COMPUTED_VALUE"""),2)</f>
        <v>2</v>
      </c>
      <c r="J237" s="46">
        <f ca="1">IFERROR(__xludf.DUMMYFUNCTION("""COMPUTED_VALUE"""),0)</f>
        <v>0</v>
      </c>
      <c r="K237" s="46">
        <f ca="1">IFERROR(__xludf.DUMMYFUNCTION("""COMPUTED_VALUE"""),0)</f>
        <v>0</v>
      </c>
      <c r="L237" s="46">
        <f ca="1">IFERROR(__xludf.DUMMYFUNCTION("""COMPUTED_VALUE"""),0)</f>
        <v>0</v>
      </c>
      <c r="M237" s="46">
        <f ca="1">IFERROR(__xludf.DUMMYFUNCTION("""COMPUTED_VALUE"""),0)</f>
        <v>0</v>
      </c>
      <c r="N237" s="46">
        <f ca="1">IFERROR(__xludf.DUMMYFUNCTION("""COMPUTED_VALUE"""),0)</f>
        <v>0</v>
      </c>
      <c r="O237" s="50">
        <f t="shared" ca="1" si="1"/>
        <v>5</v>
      </c>
    </row>
    <row r="238" spans="1:15" ht="12.75">
      <c r="A238" s="50" t="str">
        <f ca="1">IFERROR(__xludf.DUMMYFUNCTION("""COMPUTED_VALUE"""),"CD67")</f>
        <v>CD67</v>
      </c>
      <c r="B238" s="77" t="str">
        <f ca="1">IFERROR(__xludf.DUMMYFUNCTION("""COMPUTED_VALUE"""),"06670261")</f>
        <v>06670261</v>
      </c>
      <c r="C238" s="48" t="str">
        <f ca="1">IFERROR(__xludf.DUMMYFUNCTION("""COMPUTED_VALUE"""),"Avenir KOCHERSBERG TT")</f>
        <v>Avenir KOCHERSBERG TT</v>
      </c>
      <c r="D238" s="46">
        <f ca="1">IFERROR(__xludf.DUMMYFUNCTION("""COMPUTED_VALUE"""),0)</f>
        <v>0</v>
      </c>
      <c r="E238" s="46">
        <f ca="1">IFERROR(__xludf.DUMMYFUNCTION("""COMPUTED_VALUE"""),1)</f>
        <v>1</v>
      </c>
      <c r="F238" s="46">
        <f ca="1">IFERROR(__xludf.DUMMYFUNCTION("""COMPUTED_VALUE"""),4)</f>
        <v>4</v>
      </c>
      <c r="G238" s="46">
        <f ca="1">IFERROR(__xludf.DUMMYFUNCTION("""COMPUTED_VALUE"""),0)</f>
        <v>0</v>
      </c>
      <c r="H238" s="46">
        <f ca="1">IFERROR(__xludf.DUMMYFUNCTION("""COMPUTED_VALUE"""),1)</f>
        <v>1</v>
      </c>
      <c r="I238" s="46">
        <f ca="1">IFERROR(__xludf.DUMMYFUNCTION("""COMPUTED_VALUE"""),1)</f>
        <v>1</v>
      </c>
      <c r="J238" s="46">
        <f ca="1">IFERROR(__xludf.DUMMYFUNCTION("""COMPUTED_VALUE"""),1)</f>
        <v>1</v>
      </c>
      <c r="K238" s="46">
        <f ca="1">IFERROR(__xludf.DUMMYFUNCTION("""COMPUTED_VALUE"""),1)</f>
        <v>1</v>
      </c>
      <c r="L238" s="46">
        <f ca="1">IFERROR(__xludf.DUMMYFUNCTION("""COMPUTED_VALUE"""),0)</f>
        <v>0</v>
      </c>
      <c r="M238" s="46">
        <f ca="1">IFERROR(__xludf.DUMMYFUNCTION("""COMPUTED_VALUE"""),0)</f>
        <v>0</v>
      </c>
      <c r="N238" s="46">
        <f ca="1">IFERROR(__xludf.DUMMYFUNCTION("""COMPUTED_VALUE"""),0)</f>
        <v>0</v>
      </c>
      <c r="O238" s="50">
        <f t="shared" ca="1" si="1"/>
        <v>9</v>
      </c>
    </row>
    <row r="239" spans="1:15" ht="12.75">
      <c r="A239" s="50" t="str">
        <f ca="1">IFERROR(__xludf.DUMMYFUNCTION("""COMPUTED_VALUE"""),"CD67")</f>
        <v>CD67</v>
      </c>
      <c r="B239" s="77" t="str">
        <f ca="1">IFERROR(__xludf.DUMMYFUNCTION("""COMPUTED_VALUE"""),"06670265")</f>
        <v>06670265</v>
      </c>
      <c r="C239" s="48" t="str">
        <f ca="1">IFERROR(__xludf.DUMMYFUNCTION("""COMPUTED_VALUE"""),"US EGALITAIRE NEUDORF")</f>
        <v>US EGALITAIRE NEUDORF</v>
      </c>
      <c r="D239" s="46">
        <f ca="1">IFERROR(__xludf.DUMMYFUNCTION("""COMPUTED_VALUE"""),0)</f>
        <v>0</v>
      </c>
      <c r="E239" s="46">
        <f ca="1">IFERROR(__xludf.DUMMYFUNCTION("""COMPUTED_VALUE"""),0)</f>
        <v>0</v>
      </c>
      <c r="F239" s="46">
        <f ca="1">IFERROR(__xludf.DUMMYFUNCTION("""COMPUTED_VALUE"""),0)</f>
        <v>0</v>
      </c>
      <c r="G239" s="46">
        <f ca="1">IFERROR(__xludf.DUMMYFUNCTION("""COMPUTED_VALUE"""),0)</f>
        <v>0</v>
      </c>
      <c r="H239" s="46">
        <f ca="1">IFERROR(__xludf.DUMMYFUNCTION("""COMPUTED_VALUE"""),0)</f>
        <v>0</v>
      </c>
      <c r="I239" s="46">
        <f ca="1">IFERROR(__xludf.DUMMYFUNCTION("""COMPUTED_VALUE"""),0)</f>
        <v>0</v>
      </c>
      <c r="J239" s="46">
        <f ca="1">IFERROR(__xludf.DUMMYFUNCTION("""COMPUTED_VALUE"""),0)</f>
        <v>0</v>
      </c>
      <c r="K239" s="46">
        <f ca="1">IFERROR(__xludf.DUMMYFUNCTION("""COMPUTED_VALUE"""),0)</f>
        <v>0</v>
      </c>
      <c r="L239" s="46">
        <f ca="1">IFERROR(__xludf.DUMMYFUNCTION("""COMPUTED_VALUE"""),0)</f>
        <v>0</v>
      </c>
      <c r="M239" s="46">
        <f ca="1">IFERROR(__xludf.DUMMYFUNCTION("""COMPUTED_VALUE"""),0)</f>
        <v>0</v>
      </c>
      <c r="N239" s="46">
        <f ca="1">IFERROR(__xludf.DUMMYFUNCTION("""COMPUTED_VALUE"""),0)</f>
        <v>0</v>
      </c>
      <c r="O239" s="50">
        <f t="shared" ca="1" si="1"/>
        <v>0</v>
      </c>
    </row>
    <row r="240" spans="1:15" ht="12.75">
      <c r="A240" s="50" t="str">
        <f ca="1">IFERROR(__xludf.DUMMYFUNCTION("""COMPUTED_VALUE"""),"CD67")</f>
        <v>CD67</v>
      </c>
      <c r="B240" s="77" t="str">
        <f ca="1">IFERROR(__xludf.DUMMYFUNCTION("""COMPUTED_VALUE"""),"06670267")</f>
        <v>06670267</v>
      </c>
      <c r="C240" s="48" t="str">
        <f ca="1">IFERROR(__xludf.DUMMYFUNCTION("""COMPUTED_VALUE"""),"VAL DE MODER 77 CTT")</f>
        <v>VAL DE MODER 77 CTT</v>
      </c>
      <c r="D240" s="46">
        <f ca="1">IFERROR(__xludf.DUMMYFUNCTION("""COMPUTED_VALUE"""),0)</f>
        <v>0</v>
      </c>
      <c r="E240" s="46">
        <f ca="1">IFERROR(__xludf.DUMMYFUNCTION("""COMPUTED_VALUE"""),0)</f>
        <v>0</v>
      </c>
      <c r="F240" s="46">
        <f ca="1">IFERROR(__xludf.DUMMYFUNCTION("""COMPUTED_VALUE"""),0)</f>
        <v>0</v>
      </c>
      <c r="G240" s="46">
        <f ca="1">IFERROR(__xludf.DUMMYFUNCTION("""COMPUTED_VALUE"""),0)</f>
        <v>0</v>
      </c>
      <c r="H240" s="46">
        <f ca="1">IFERROR(__xludf.DUMMYFUNCTION("""COMPUTED_VALUE"""),0)</f>
        <v>0</v>
      </c>
      <c r="I240" s="46">
        <f ca="1">IFERROR(__xludf.DUMMYFUNCTION("""COMPUTED_VALUE"""),0)</f>
        <v>0</v>
      </c>
      <c r="J240" s="46">
        <f ca="1">IFERROR(__xludf.DUMMYFUNCTION("""COMPUTED_VALUE"""),0)</f>
        <v>0</v>
      </c>
      <c r="K240" s="46">
        <f ca="1">IFERROR(__xludf.DUMMYFUNCTION("""COMPUTED_VALUE"""),0)</f>
        <v>0</v>
      </c>
      <c r="L240" s="46">
        <f ca="1">IFERROR(__xludf.DUMMYFUNCTION("""COMPUTED_VALUE"""),0)</f>
        <v>0</v>
      </c>
      <c r="M240" s="46">
        <f ca="1">IFERROR(__xludf.DUMMYFUNCTION("""COMPUTED_VALUE"""),0)</f>
        <v>0</v>
      </c>
      <c r="N240" s="46">
        <f ca="1">IFERROR(__xludf.DUMMYFUNCTION("""COMPUTED_VALUE"""),0)</f>
        <v>0</v>
      </c>
      <c r="O240" s="50">
        <f t="shared" ca="1" si="1"/>
        <v>0</v>
      </c>
    </row>
    <row r="241" spans="1:15" ht="12.75">
      <c r="A241" s="50" t="str">
        <f ca="1">IFERROR(__xludf.DUMMYFUNCTION("""COMPUTED_VALUE"""),"CD67")</f>
        <v>CD67</v>
      </c>
      <c r="B241" s="77" t="str">
        <f ca="1">IFERROR(__xludf.DUMMYFUNCTION("""COMPUTED_VALUE"""),"06670270")</f>
        <v>06670270</v>
      </c>
      <c r="C241" s="48" t="str">
        <f ca="1">IFERROR(__xludf.DUMMYFUNCTION("""COMPUTED_VALUE"""),"STRASBOURG EUROMETROPOLE TT")</f>
        <v>STRASBOURG EUROMETROPOLE TT</v>
      </c>
      <c r="D241" s="46">
        <f ca="1">IFERROR(__xludf.DUMMYFUNCTION("""COMPUTED_VALUE"""),3)</f>
        <v>3</v>
      </c>
      <c r="E241" s="46">
        <f ca="1">IFERROR(__xludf.DUMMYFUNCTION("""COMPUTED_VALUE"""),0)</f>
        <v>0</v>
      </c>
      <c r="F241" s="46">
        <f ca="1">IFERROR(__xludf.DUMMYFUNCTION("""COMPUTED_VALUE"""),6)</f>
        <v>6</v>
      </c>
      <c r="G241" s="46">
        <f ca="1">IFERROR(__xludf.DUMMYFUNCTION("""COMPUTED_VALUE"""),0)</f>
        <v>0</v>
      </c>
      <c r="H241" s="46">
        <f ca="1">IFERROR(__xludf.DUMMYFUNCTION("""COMPUTED_VALUE"""),0)</f>
        <v>0</v>
      </c>
      <c r="I241" s="46">
        <f ca="1">IFERROR(__xludf.DUMMYFUNCTION("""COMPUTED_VALUE"""),3)</f>
        <v>3</v>
      </c>
      <c r="J241" s="46">
        <f ca="1">IFERROR(__xludf.DUMMYFUNCTION("""COMPUTED_VALUE"""),1)</f>
        <v>1</v>
      </c>
      <c r="K241" s="46">
        <f ca="1">IFERROR(__xludf.DUMMYFUNCTION("""COMPUTED_VALUE"""),0)</f>
        <v>0</v>
      </c>
      <c r="L241" s="46">
        <f ca="1">IFERROR(__xludf.DUMMYFUNCTION("""COMPUTED_VALUE"""),0)</f>
        <v>0</v>
      </c>
      <c r="M241" s="46">
        <f ca="1">IFERROR(__xludf.DUMMYFUNCTION("""COMPUTED_VALUE"""),0)</f>
        <v>0</v>
      </c>
      <c r="N241" s="46">
        <f ca="1">IFERROR(__xludf.DUMMYFUNCTION("""COMPUTED_VALUE"""),0)</f>
        <v>0</v>
      </c>
      <c r="O241" s="50">
        <f t="shared" ca="1" si="1"/>
        <v>13</v>
      </c>
    </row>
    <row r="242" spans="1:15" ht="12.75">
      <c r="A242" s="50" t="str">
        <f ca="1">IFERROR(__xludf.DUMMYFUNCTION("""COMPUTED_VALUE"""),"CD67")</f>
        <v>CD67</v>
      </c>
      <c r="B242" s="77" t="str">
        <f ca="1">IFERROR(__xludf.DUMMYFUNCTION("""COMPUTED_VALUE"""),"06670271")</f>
        <v>06670271</v>
      </c>
      <c r="C242" s="48" t="str">
        <f ca="1">IFERROR(__xludf.DUMMYFUNCTION("""COMPUTED_VALUE"""),"DURRENBACH ATTD")</f>
        <v>DURRENBACH ATTD</v>
      </c>
      <c r="D242" s="46">
        <f ca="1">IFERROR(__xludf.DUMMYFUNCTION("""COMPUTED_VALUE"""),0)</f>
        <v>0</v>
      </c>
      <c r="E242" s="46">
        <f ca="1">IFERROR(__xludf.DUMMYFUNCTION("""COMPUTED_VALUE"""),0)</f>
        <v>0</v>
      </c>
      <c r="F242" s="46">
        <f ca="1">IFERROR(__xludf.DUMMYFUNCTION("""COMPUTED_VALUE"""),0)</f>
        <v>0</v>
      </c>
      <c r="G242" s="46">
        <f ca="1">IFERROR(__xludf.DUMMYFUNCTION("""COMPUTED_VALUE"""),0)</f>
        <v>0</v>
      </c>
      <c r="H242" s="46">
        <f ca="1">IFERROR(__xludf.DUMMYFUNCTION("""COMPUTED_VALUE"""),0)</f>
        <v>0</v>
      </c>
      <c r="I242" s="46">
        <f ca="1">IFERROR(__xludf.DUMMYFUNCTION("""COMPUTED_VALUE"""),0)</f>
        <v>0</v>
      </c>
      <c r="J242" s="46">
        <f ca="1">IFERROR(__xludf.DUMMYFUNCTION("""COMPUTED_VALUE"""),0)</f>
        <v>0</v>
      </c>
      <c r="K242" s="46">
        <f ca="1">IFERROR(__xludf.DUMMYFUNCTION("""COMPUTED_VALUE"""),0)</f>
        <v>0</v>
      </c>
      <c r="L242" s="46">
        <f ca="1">IFERROR(__xludf.DUMMYFUNCTION("""COMPUTED_VALUE"""),0)</f>
        <v>0</v>
      </c>
      <c r="M242" s="46">
        <f ca="1">IFERROR(__xludf.DUMMYFUNCTION("""COMPUTED_VALUE"""),0)</f>
        <v>0</v>
      </c>
      <c r="N242" s="46">
        <f ca="1">IFERROR(__xludf.DUMMYFUNCTION("""COMPUTED_VALUE"""),0)</f>
        <v>0</v>
      </c>
      <c r="O242" s="50">
        <f t="shared" ca="1" si="1"/>
        <v>0</v>
      </c>
    </row>
    <row r="243" spans="1:15" ht="12.75">
      <c r="A243" s="50" t="str">
        <f ca="1">IFERROR(__xludf.DUMMYFUNCTION("""COMPUTED_VALUE"""),"CD67")</f>
        <v>CD67</v>
      </c>
      <c r="B243" s="77" t="str">
        <f ca="1">IFERROR(__xludf.DUMMYFUNCTION("""COMPUTED_VALUE"""),"06670272")</f>
        <v>06670272</v>
      </c>
      <c r="C243" s="48" t="str">
        <f ca="1">IFERROR(__xludf.DUMMYFUNCTION("""COMPUTED_VALUE"""),"SCHILTIGHEIM Tennis de Table")</f>
        <v>SCHILTIGHEIM Tennis de Table</v>
      </c>
      <c r="D243" s="46">
        <f ca="1">IFERROR(__xludf.DUMMYFUNCTION("""COMPUTED_VALUE"""),3)</f>
        <v>3</v>
      </c>
      <c r="E243" s="46">
        <f ca="1">IFERROR(__xludf.DUMMYFUNCTION("""COMPUTED_VALUE"""),0)</f>
        <v>0</v>
      </c>
      <c r="F243" s="46">
        <f ca="1">IFERROR(__xludf.DUMMYFUNCTION("""COMPUTED_VALUE"""),3)</f>
        <v>3</v>
      </c>
      <c r="G243" s="46">
        <f ca="1">IFERROR(__xludf.DUMMYFUNCTION("""COMPUTED_VALUE"""),0)</f>
        <v>0</v>
      </c>
      <c r="H243" s="46">
        <f ca="1">IFERROR(__xludf.DUMMYFUNCTION("""COMPUTED_VALUE"""),0)</f>
        <v>0</v>
      </c>
      <c r="I243" s="46">
        <f ca="1">IFERROR(__xludf.DUMMYFUNCTION("""COMPUTED_VALUE"""),1)</f>
        <v>1</v>
      </c>
      <c r="J243" s="46">
        <f ca="1">IFERROR(__xludf.DUMMYFUNCTION("""COMPUTED_VALUE"""),1)</f>
        <v>1</v>
      </c>
      <c r="K243" s="46">
        <f ca="1">IFERROR(__xludf.DUMMYFUNCTION("""COMPUTED_VALUE"""),0)</f>
        <v>0</v>
      </c>
      <c r="L243" s="46">
        <f ca="1">IFERROR(__xludf.DUMMYFUNCTION("""COMPUTED_VALUE"""),0)</f>
        <v>0</v>
      </c>
      <c r="M243" s="46">
        <f ca="1">IFERROR(__xludf.DUMMYFUNCTION("""COMPUTED_VALUE"""),0)</f>
        <v>0</v>
      </c>
      <c r="N243" s="46">
        <f ca="1">IFERROR(__xludf.DUMMYFUNCTION("""COMPUTED_VALUE"""),0)</f>
        <v>0</v>
      </c>
      <c r="O243" s="50">
        <f t="shared" ca="1" si="1"/>
        <v>8</v>
      </c>
    </row>
    <row r="244" spans="1:15" ht="12.75">
      <c r="A244" s="50" t="str">
        <f ca="1">IFERROR(__xludf.DUMMYFUNCTION("""COMPUTED_VALUE"""),"CD67")</f>
        <v>CD67</v>
      </c>
      <c r="B244" s="77" t="str">
        <f ca="1">IFERROR(__xludf.DUMMYFUNCTION("""COMPUTED_VALUE"""),"06670274")</f>
        <v>06670274</v>
      </c>
      <c r="C244" s="48" t="str">
        <f ca="1">IFERROR(__xludf.DUMMYFUNCTION("""COMPUTED_VALUE"""),"FESSENHEIM LE BAS ASCS")</f>
        <v>FESSENHEIM LE BAS ASCS</v>
      </c>
      <c r="D244" s="46">
        <f ca="1">IFERROR(__xludf.DUMMYFUNCTION("""COMPUTED_VALUE"""),0)</f>
        <v>0</v>
      </c>
      <c r="E244" s="46">
        <f ca="1">IFERROR(__xludf.DUMMYFUNCTION("""COMPUTED_VALUE"""),0)</f>
        <v>0</v>
      </c>
      <c r="F244" s="46">
        <f ca="1">IFERROR(__xludf.DUMMYFUNCTION("""COMPUTED_VALUE"""),0)</f>
        <v>0</v>
      </c>
      <c r="G244" s="46">
        <f ca="1">IFERROR(__xludf.DUMMYFUNCTION("""COMPUTED_VALUE"""),0)</f>
        <v>0</v>
      </c>
      <c r="H244" s="46">
        <f ca="1">IFERROR(__xludf.DUMMYFUNCTION("""COMPUTED_VALUE"""),0)</f>
        <v>0</v>
      </c>
      <c r="I244" s="46">
        <f ca="1">IFERROR(__xludf.DUMMYFUNCTION("""COMPUTED_VALUE"""),0)</f>
        <v>0</v>
      </c>
      <c r="J244" s="46">
        <f ca="1">IFERROR(__xludf.DUMMYFUNCTION("""COMPUTED_VALUE"""),0)</f>
        <v>0</v>
      </c>
      <c r="K244" s="46">
        <f ca="1">IFERROR(__xludf.DUMMYFUNCTION("""COMPUTED_VALUE"""),0)</f>
        <v>0</v>
      </c>
      <c r="L244" s="46">
        <f ca="1">IFERROR(__xludf.DUMMYFUNCTION("""COMPUTED_VALUE"""),0)</f>
        <v>0</v>
      </c>
      <c r="M244" s="46">
        <f ca="1">IFERROR(__xludf.DUMMYFUNCTION("""COMPUTED_VALUE"""),0)</f>
        <v>0</v>
      </c>
      <c r="N244" s="46">
        <f ca="1">IFERROR(__xludf.DUMMYFUNCTION("""COMPUTED_VALUE"""),0)</f>
        <v>0</v>
      </c>
      <c r="O244" s="50">
        <f t="shared" ca="1" si="1"/>
        <v>0</v>
      </c>
    </row>
    <row r="245" spans="1:15" ht="12.75">
      <c r="A245" s="50" t="str">
        <f ca="1">IFERROR(__xludf.DUMMYFUNCTION("""COMPUTED_VALUE"""),"CD67")</f>
        <v>CD67</v>
      </c>
      <c r="B245" s="77" t="str">
        <f ca="1">IFERROR(__xludf.DUMMYFUNCTION("""COMPUTED_VALUE"""),"06670275")</f>
        <v>06670275</v>
      </c>
      <c r="C245" s="48" t="str">
        <f ca="1">IFERROR(__xludf.DUMMYFUNCTION("""COMPUTED_VALUE"""),"OSTHOFFEN FC")</f>
        <v>OSTHOFFEN FC</v>
      </c>
      <c r="D245" s="46">
        <f ca="1">IFERROR(__xludf.DUMMYFUNCTION("""COMPUTED_VALUE"""),0)</f>
        <v>0</v>
      </c>
      <c r="E245" s="46">
        <f ca="1">IFERROR(__xludf.DUMMYFUNCTION("""COMPUTED_VALUE"""),0)</f>
        <v>0</v>
      </c>
      <c r="F245" s="46">
        <f ca="1">IFERROR(__xludf.DUMMYFUNCTION("""COMPUTED_VALUE"""),0)</f>
        <v>0</v>
      </c>
      <c r="G245" s="46">
        <f ca="1">IFERROR(__xludf.DUMMYFUNCTION("""COMPUTED_VALUE"""),0)</f>
        <v>0</v>
      </c>
      <c r="H245" s="46">
        <f ca="1">IFERROR(__xludf.DUMMYFUNCTION("""COMPUTED_VALUE"""),0)</f>
        <v>0</v>
      </c>
      <c r="I245" s="46">
        <f ca="1">IFERROR(__xludf.DUMMYFUNCTION("""COMPUTED_VALUE"""),0)</f>
        <v>0</v>
      </c>
      <c r="J245" s="46">
        <f ca="1">IFERROR(__xludf.DUMMYFUNCTION("""COMPUTED_VALUE"""),0)</f>
        <v>0</v>
      </c>
      <c r="K245" s="46">
        <f ca="1">IFERROR(__xludf.DUMMYFUNCTION("""COMPUTED_VALUE"""),0)</f>
        <v>0</v>
      </c>
      <c r="L245" s="46">
        <f ca="1">IFERROR(__xludf.DUMMYFUNCTION("""COMPUTED_VALUE"""),0)</f>
        <v>0</v>
      </c>
      <c r="M245" s="46">
        <f ca="1">IFERROR(__xludf.DUMMYFUNCTION("""COMPUTED_VALUE"""),0)</f>
        <v>0</v>
      </c>
      <c r="N245" s="46">
        <f ca="1">IFERROR(__xludf.DUMMYFUNCTION("""COMPUTED_VALUE"""),0)</f>
        <v>0</v>
      </c>
      <c r="O245" s="50">
        <f t="shared" ca="1" si="1"/>
        <v>0</v>
      </c>
    </row>
    <row r="246" spans="1:15" ht="12.75">
      <c r="A246" s="50" t="str">
        <f ca="1">IFERROR(__xludf.DUMMYFUNCTION("""COMPUTED_VALUE"""),"CD67")</f>
        <v>CD67</v>
      </c>
      <c r="B246" s="77" t="str">
        <f ca="1">IFERROR(__xludf.DUMMYFUNCTION("""COMPUTED_VALUE"""),"06670279")</f>
        <v>06670279</v>
      </c>
      <c r="C246" s="48" t="str">
        <f ca="1">IFERROR(__xludf.DUMMYFUNCTION("""COMPUTED_VALUE"""),"Etoile Pongiste de SCHLEITHAL ")</f>
        <v xml:space="preserve">Etoile Pongiste de SCHLEITHAL </v>
      </c>
      <c r="D246" s="46">
        <f ca="1">IFERROR(__xludf.DUMMYFUNCTION("""COMPUTED_VALUE"""),1)</f>
        <v>1</v>
      </c>
      <c r="E246" s="46">
        <f ca="1">IFERROR(__xludf.DUMMYFUNCTION("""COMPUTED_VALUE"""),0)</f>
        <v>0</v>
      </c>
      <c r="F246" s="46">
        <f ca="1">IFERROR(__xludf.DUMMYFUNCTION("""COMPUTED_VALUE"""),6)</f>
        <v>6</v>
      </c>
      <c r="G246" s="46">
        <f ca="1">IFERROR(__xludf.DUMMYFUNCTION("""COMPUTED_VALUE"""),0)</f>
        <v>0</v>
      </c>
      <c r="H246" s="46">
        <f ca="1">IFERROR(__xludf.DUMMYFUNCTION("""COMPUTED_VALUE"""),0)</f>
        <v>0</v>
      </c>
      <c r="I246" s="46">
        <f ca="1">IFERROR(__xludf.DUMMYFUNCTION("""COMPUTED_VALUE"""),2)</f>
        <v>2</v>
      </c>
      <c r="J246" s="46">
        <f ca="1">IFERROR(__xludf.DUMMYFUNCTION("""COMPUTED_VALUE"""),0)</f>
        <v>0</v>
      </c>
      <c r="K246" s="46">
        <f ca="1">IFERROR(__xludf.DUMMYFUNCTION("""COMPUTED_VALUE"""),0)</f>
        <v>0</v>
      </c>
      <c r="L246" s="46">
        <f ca="1">IFERROR(__xludf.DUMMYFUNCTION("""COMPUTED_VALUE"""),0)</f>
        <v>0</v>
      </c>
      <c r="M246" s="46">
        <f ca="1">IFERROR(__xludf.DUMMYFUNCTION("""COMPUTED_VALUE"""),0)</f>
        <v>0</v>
      </c>
      <c r="N246" s="46">
        <f ca="1">IFERROR(__xludf.DUMMYFUNCTION("""COMPUTED_VALUE"""),0)</f>
        <v>0</v>
      </c>
      <c r="O246" s="50">
        <f t="shared" ca="1" si="1"/>
        <v>9</v>
      </c>
    </row>
    <row r="247" spans="1:15" ht="12.75">
      <c r="A247" s="50" t="str">
        <f ca="1">IFERROR(__xludf.DUMMYFUNCTION("""COMPUTED_VALUE"""),"CD67")</f>
        <v>CD67</v>
      </c>
      <c r="B247" s="77" t="str">
        <f ca="1">IFERROR(__xludf.DUMMYFUNCTION("""COMPUTED_VALUE"""),"06670280")</f>
        <v>06670280</v>
      </c>
      <c r="C247" s="48" t="str">
        <f ca="1">IFERROR(__xludf.DUMMYFUNCTION("""COMPUTED_VALUE"""),"ERNOLSHEIM SUR BRUCHE STT")</f>
        <v>ERNOLSHEIM SUR BRUCHE STT</v>
      </c>
      <c r="D247" s="46">
        <f ca="1">IFERROR(__xludf.DUMMYFUNCTION("""COMPUTED_VALUE"""),0)</f>
        <v>0</v>
      </c>
      <c r="E247" s="46">
        <f ca="1">IFERROR(__xludf.DUMMYFUNCTION("""COMPUTED_VALUE"""),0)</f>
        <v>0</v>
      </c>
      <c r="F247" s="46">
        <f ca="1">IFERROR(__xludf.DUMMYFUNCTION("""COMPUTED_VALUE"""),0)</f>
        <v>0</v>
      </c>
      <c r="G247" s="46">
        <f ca="1">IFERROR(__xludf.DUMMYFUNCTION("""COMPUTED_VALUE"""),0)</f>
        <v>0</v>
      </c>
      <c r="H247" s="46">
        <f ca="1">IFERROR(__xludf.DUMMYFUNCTION("""COMPUTED_VALUE"""),0)</f>
        <v>0</v>
      </c>
      <c r="I247" s="46">
        <f ca="1">IFERROR(__xludf.DUMMYFUNCTION("""COMPUTED_VALUE"""),0)</f>
        <v>0</v>
      </c>
      <c r="J247" s="46">
        <f ca="1">IFERROR(__xludf.DUMMYFUNCTION("""COMPUTED_VALUE"""),0)</f>
        <v>0</v>
      </c>
      <c r="K247" s="46">
        <f ca="1">IFERROR(__xludf.DUMMYFUNCTION("""COMPUTED_VALUE"""),0)</f>
        <v>0</v>
      </c>
      <c r="L247" s="46">
        <f ca="1">IFERROR(__xludf.DUMMYFUNCTION("""COMPUTED_VALUE"""),0)</f>
        <v>0</v>
      </c>
      <c r="M247" s="46">
        <f ca="1">IFERROR(__xludf.DUMMYFUNCTION("""COMPUTED_VALUE"""),0)</f>
        <v>0</v>
      </c>
      <c r="N247" s="46">
        <f ca="1">IFERROR(__xludf.DUMMYFUNCTION("""COMPUTED_VALUE"""),0)</f>
        <v>0</v>
      </c>
      <c r="O247" s="50">
        <f t="shared" ca="1" si="1"/>
        <v>0</v>
      </c>
    </row>
    <row r="248" spans="1:15" ht="12.75">
      <c r="A248" s="50" t="str">
        <f ca="1">IFERROR(__xludf.DUMMYFUNCTION("""COMPUTED_VALUE"""),"CD67")</f>
        <v>CD67</v>
      </c>
      <c r="B248" s="77" t="str">
        <f ca="1">IFERROR(__xludf.DUMMYFUNCTION("""COMPUTED_VALUE"""),"06670281")</f>
        <v>06670281</v>
      </c>
      <c r="C248" s="48" t="str">
        <f ca="1">IFERROR(__xludf.DUMMYFUNCTION("""COMPUTED_VALUE"""),"AMITIE LINGOLSHEIM")</f>
        <v>AMITIE LINGOLSHEIM</v>
      </c>
      <c r="D248" s="46">
        <f ca="1">IFERROR(__xludf.DUMMYFUNCTION("""COMPUTED_VALUE"""),0)</f>
        <v>0</v>
      </c>
      <c r="E248" s="46">
        <f ca="1">IFERROR(__xludf.DUMMYFUNCTION("""COMPUTED_VALUE"""),0)</f>
        <v>0</v>
      </c>
      <c r="F248" s="46">
        <f ca="1">IFERROR(__xludf.DUMMYFUNCTION("""COMPUTED_VALUE"""),0)</f>
        <v>0</v>
      </c>
      <c r="G248" s="46">
        <f ca="1">IFERROR(__xludf.DUMMYFUNCTION("""COMPUTED_VALUE"""),0)</f>
        <v>0</v>
      </c>
      <c r="H248" s="46">
        <f ca="1">IFERROR(__xludf.DUMMYFUNCTION("""COMPUTED_VALUE"""),0)</f>
        <v>0</v>
      </c>
      <c r="I248" s="46">
        <f ca="1">IFERROR(__xludf.DUMMYFUNCTION("""COMPUTED_VALUE"""),0)</f>
        <v>0</v>
      </c>
      <c r="J248" s="46">
        <f ca="1">IFERROR(__xludf.DUMMYFUNCTION("""COMPUTED_VALUE"""),0)</f>
        <v>0</v>
      </c>
      <c r="K248" s="46">
        <f ca="1">IFERROR(__xludf.DUMMYFUNCTION("""COMPUTED_VALUE"""),0)</f>
        <v>0</v>
      </c>
      <c r="L248" s="46">
        <f ca="1">IFERROR(__xludf.DUMMYFUNCTION("""COMPUTED_VALUE"""),0)</f>
        <v>0</v>
      </c>
      <c r="M248" s="46">
        <f ca="1">IFERROR(__xludf.DUMMYFUNCTION("""COMPUTED_VALUE"""),0)</f>
        <v>0</v>
      </c>
      <c r="N248" s="46">
        <f ca="1">IFERROR(__xludf.DUMMYFUNCTION("""COMPUTED_VALUE"""),0)</f>
        <v>0</v>
      </c>
      <c r="O248" s="50">
        <f t="shared" ca="1" si="1"/>
        <v>0</v>
      </c>
    </row>
    <row r="249" spans="1:15" ht="12.75">
      <c r="A249" s="50" t="str">
        <f ca="1">IFERROR(__xludf.DUMMYFUNCTION("""COMPUTED_VALUE"""),"CD67")</f>
        <v>CD67</v>
      </c>
      <c r="B249" s="77" t="str">
        <f ca="1">IFERROR(__xludf.DUMMYFUNCTION("""COMPUTED_VALUE"""),"06670282")</f>
        <v>06670282</v>
      </c>
      <c r="C249" s="48" t="str">
        <f ca="1">IFERROR(__xludf.DUMMYFUNCTION("""COMPUTED_VALUE"""),"Vallée de Villé Tennis de Table")</f>
        <v>Vallée de Villé Tennis de Table</v>
      </c>
      <c r="D249" s="46">
        <f ca="1">IFERROR(__xludf.DUMMYFUNCTION("""COMPUTED_VALUE"""),0)</f>
        <v>0</v>
      </c>
      <c r="E249" s="46">
        <f ca="1">IFERROR(__xludf.DUMMYFUNCTION("""COMPUTED_VALUE"""),0)</f>
        <v>0</v>
      </c>
      <c r="F249" s="46">
        <f ca="1">IFERROR(__xludf.DUMMYFUNCTION("""COMPUTED_VALUE"""),0)</f>
        <v>0</v>
      </c>
      <c r="G249" s="46">
        <f ca="1">IFERROR(__xludf.DUMMYFUNCTION("""COMPUTED_VALUE"""),0)</f>
        <v>0</v>
      </c>
      <c r="H249" s="46">
        <f ca="1">IFERROR(__xludf.DUMMYFUNCTION("""COMPUTED_VALUE"""),0)</f>
        <v>0</v>
      </c>
      <c r="I249" s="46">
        <f ca="1">IFERROR(__xludf.DUMMYFUNCTION("""COMPUTED_VALUE"""),0)</f>
        <v>0</v>
      </c>
      <c r="J249" s="46">
        <f ca="1">IFERROR(__xludf.DUMMYFUNCTION("""COMPUTED_VALUE"""),0)</f>
        <v>0</v>
      </c>
      <c r="K249" s="46">
        <f ca="1">IFERROR(__xludf.DUMMYFUNCTION("""COMPUTED_VALUE"""),0)</f>
        <v>0</v>
      </c>
      <c r="L249" s="46">
        <f ca="1">IFERROR(__xludf.DUMMYFUNCTION("""COMPUTED_VALUE"""),0)</f>
        <v>0</v>
      </c>
      <c r="M249" s="46">
        <f ca="1">IFERROR(__xludf.DUMMYFUNCTION("""COMPUTED_VALUE"""),0)</f>
        <v>0</v>
      </c>
      <c r="N249" s="46">
        <f ca="1">IFERROR(__xludf.DUMMYFUNCTION("""COMPUTED_VALUE"""),0)</f>
        <v>0</v>
      </c>
      <c r="O249" s="50">
        <f t="shared" ca="1" si="1"/>
        <v>0</v>
      </c>
    </row>
    <row r="250" spans="1:15" ht="12.75">
      <c r="A250" s="50" t="str">
        <f ca="1">IFERROR(__xludf.DUMMYFUNCTION("""COMPUTED_VALUE"""),"CD67")</f>
        <v>CD67</v>
      </c>
      <c r="B250" s="77" t="str">
        <f ca="1">IFERROR(__xludf.DUMMYFUNCTION("""COMPUTED_VALUE"""),"06670283")</f>
        <v>06670283</v>
      </c>
      <c r="C250" s="48" t="str">
        <f ca="1">IFERROR(__xludf.DUMMYFUNCTION("""COMPUTED_VALUE"""),"CLTT MENCHHOFFEN")</f>
        <v>CLTT MENCHHOFFEN</v>
      </c>
      <c r="D250" s="46">
        <f ca="1">IFERROR(__xludf.DUMMYFUNCTION("""COMPUTED_VALUE"""),0)</f>
        <v>0</v>
      </c>
      <c r="E250" s="46">
        <f ca="1">IFERROR(__xludf.DUMMYFUNCTION("""COMPUTED_VALUE"""),0)</f>
        <v>0</v>
      </c>
      <c r="F250" s="46">
        <f ca="1">IFERROR(__xludf.DUMMYFUNCTION("""COMPUTED_VALUE"""),0)</f>
        <v>0</v>
      </c>
      <c r="G250" s="46">
        <f ca="1">IFERROR(__xludf.DUMMYFUNCTION("""COMPUTED_VALUE"""),0)</f>
        <v>0</v>
      </c>
      <c r="H250" s="46">
        <f ca="1">IFERROR(__xludf.DUMMYFUNCTION("""COMPUTED_VALUE"""),0)</f>
        <v>0</v>
      </c>
      <c r="I250" s="46">
        <f ca="1">IFERROR(__xludf.DUMMYFUNCTION("""COMPUTED_VALUE"""),0)</f>
        <v>0</v>
      </c>
      <c r="J250" s="46">
        <f ca="1">IFERROR(__xludf.DUMMYFUNCTION("""COMPUTED_VALUE"""),0)</f>
        <v>0</v>
      </c>
      <c r="K250" s="46">
        <f ca="1">IFERROR(__xludf.DUMMYFUNCTION("""COMPUTED_VALUE"""),0)</f>
        <v>0</v>
      </c>
      <c r="L250" s="46">
        <f ca="1">IFERROR(__xludf.DUMMYFUNCTION("""COMPUTED_VALUE"""),0)</f>
        <v>0</v>
      </c>
      <c r="M250" s="46">
        <f ca="1">IFERROR(__xludf.DUMMYFUNCTION("""COMPUTED_VALUE"""),0)</f>
        <v>0</v>
      </c>
      <c r="N250" s="46">
        <f ca="1">IFERROR(__xludf.DUMMYFUNCTION("""COMPUTED_VALUE"""),0)</f>
        <v>0</v>
      </c>
      <c r="O250" s="50">
        <f t="shared" ca="1" si="1"/>
        <v>0</v>
      </c>
    </row>
    <row r="251" spans="1:15" ht="12.75">
      <c r="A251" s="50" t="str">
        <f ca="1">IFERROR(__xludf.DUMMYFUNCTION("""COMPUTED_VALUE"""),"CD68")</f>
        <v>CD68</v>
      </c>
      <c r="B251" s="77" t="str">
        <f ca="1">IFERROR(__xludf.DUMMYFUNCTION("""COMPUTED_VALUE"""),"06680004")</f>
        <v>06680004</v>
      </c>
      <c r="C251" s="48" t="str">
        <f ca="1">IFERROR(__xludf.DUMMYFUNCTION("""COMPUTED_VALUE"""),"COLMAR MJC")</f>
        <v>COLMAR MJC</v>
      </c>
      <c r="D251" s="46">
        <f ca="1">IFERROR(__xludf.DUMMYFUNCTION("""COMPUTED_VALUE"""),0)</f>
        <v>0</v>
      </c>
      <c r="E251" s="46">
        <f ca="1">IFERROR(__xludf.DUMMYFUNCTION("""COMPUTED_VALUE"""),0)</f>
        <v>0</v>
      </c>
      <c r="F251" s="46">
        <f ca="1">IFERROR(__xludf.DUMMYFUNCTION("""COMPUTED_VALUE"""),3)</f>
        <v>3</v>
      </c>
      <c r="G251" s="46">
        <f ca="1">IFERROR(__xludf.DUMMYFUNCTION("""COMPUTED_VALUE"""),1)</f>
        <v>1</v>
      </c>
      <c r="H251" s="46">
        <f ca="1">IFERROR(__xludf.DUMMYFUNCTION("""COMPUTED_VALUE"""),0)</f>
        <v>0</v>
      </c>
      <c r="I251" s="46">
        <f ca="1">IFERROR(__xludf.DUMMYFUNCTION("""COMPUTED_VALUE"""),2)</f>
        <v>2</v>
      </c>
      <c r="J251" s="46">
        <f ca="1">IFERROR(__xludf.DUMMYFUNCTION("""COMPUTED_VALUE"""),1)</f>
        <v>1</v>
      </c>
      <c r="K251" s="46">
        <f ca="1">IFERROR(__xludf.DUMMYFUNCTION("""COMPUTED_VALUE"""),1)</f>
        <v>1</v>
      </c>
      <c r="L251" s="46">
        <f ca="1">IFERROR(__xludf.DUMMYFUNCTION("""COMPUTED_VALUE"""),0)</f>
        <v>0</v>
      </c>
      <c r="M251" s="46">
        <f ca="1">IFERROR(__xludf.DUMMYFUNCTION("""COMPUTED_VALUE"""),0)</f>
        <v>0</v>
      </c>
      <c r="N251" s="46">
        <f ca="1">IFERROR(__xludf.DUMMYFUNCTION("""COMPUTED_VALUE"""),1)</f>
        <v>1</v>
      </c>
      <c r="O251" s="50">
        <f t="shared" ca="1" si="1"/>
        <v>9</v>
      </c>
    </row>
    <row r="252" spans="1:15" ht="12.75">
      <c r="A252" s="50" t="str">
        <f ca="1">IFERROR(__xludf.DUMMYFUNCTION("""COMPUTED_VALUE"""),"CD68")</f>
        <v>CD68</v>
      </c>
      <c r="B252" s="77" t="str">
        <f ca="1">IFERROR(__xludf.DUMMYFUNCTION("""COMPUTED_VALUE"""),"06680006")</f>
        <v>06680006</v>
      </c>
      <c r="C252" s="48" t="str">
        <f ca="1">IFERROR(__xludf.DUMMYFUNCTION("""COMPUTED_VALUE"""),"MULHOUSE FC")</f>
        <v>MULHOUSE FC</v>
      </c>
      <c r="D252" s="46">
        <f ca="1">IFERROR(__xludf.DUMMYFUNCTION("""COMPUTED_VALUE"""),0)</f>
        <v>0</v>
      </c>
      <c r="E252" s="46">
        <f ca="1">IFERROR(__xludf.DUMMYFUNCTION("""COMPUTED_VALUE"""),0)</f>
        <v>0</v>
      </c>
      <c r="F252" s="46">
        <f ca="1">IFERROR(__xludf.DUMMYFUNCTION("""COMPUTED_VALUE"""),0)</f>
        <v>0</v>
      </c>
      <c r="G252" s="46">
        <f ca="1">IFERROR(__xludf.DUMMYFUNCTION("""COMPUTED_VALUE"""),0)</f>
        <v>0</v>
      </c>
      <c r="H252" s="46">
        <f ca="1">IFERROR(__xludf.DUMMYFUNCTION("""COMPUTED_VALUE"""),0)</f>
        <v>0</v>
      </c>
      <c r="I252" s="46">
        <f ca="1">IFERROR(__xludf.DUMMYFUNCTION("""COMPUTED_VALUE"""),0)</f>
        <v>0</v>
      </c>
      <c r="J252" s="46">
        <f ca="1">IFERROR(__xludf.DUMMYFUNCTION("""COMPUTED_VALUE"""),0)</f>
        <v>0</v>
      </c>
      <c r="K252" s="46">
        <f ca="1">IFERROR(__xludf.DUMMYFUNCTION("""COMPUTED_VALUE"""),0)</f>
        <v>0</v>
      </c>
      <c r="L252" s="46">
        <f ca="1">IFERROR(__xludf.DUMMYFUNCTION("""COMPUTED_VALUE"""),0)</f>
        <v>0</v>
      </c>
      <c r="M252" s="46">
        <f ca="1">IFERROR(__xludf.DUMMYFUNCTION("""COMPUTED_VALUE"""),0)</f>
        <v>0</v>
      </c>
      <c r="N252" s="46">
        <f ca="1">IFERROR(__xludf.DUMMYFUNCTION("""COMPUTED_VALUE"""),0)</f>
        <v>0</v>
      </c>
      <c r="O252" s="50">
        <f t="shared" ca="1" si="1"/>
        <v>0</v>
      </c>
    </row>
    <row r="253" spans="1:15" ht="12.75">
      <c r="A253" s="50" t="str">
        <f ca="1">IFERROR(__xludf.DUMMYFUNCTION("""COMPUTED_VALUE"""),"CD68")</f>
        <v>CD68</v>
      </c>
      <c r="B253" s="77" t="str">
        <f ca="1">IFERROR(__xludf.DUMMYFUNCTION("""COMPUTED_VALUE"""),"06680011")</f>
        <v>06680011</v>
      </c>
      <c r="C253" s="48" t="str">
        <f ca="1">IFERROR(__xludf.DUMMYFUNCTION("""COMPUTED_VALUE"""),"RIXHEIM PPA")</f>
        <v>RIXHEIM PPA</v>
      </c>
      <c r="D253" s="46">
        <f ca="1">IFERROR(__xludf.DUMMYFUNCTION("""COMPUTED_VALUE"""),1)</f>
        <v>1</v>
      </c>
      <c r="E253" s="46">
        <f ca="1">IFERROR(__xludf.DUMMYFUNCTION("""COMPUTED_VALUE"""),0)</f>
        <v>0</v>
      </c>
      <c r="F253" s="46">
        <f ca="1">IFERROR(__xludf.DUMMYFUNCTION("""COMPUTED_VALUE"""),4)</f>
        <v>4</v>
      </c>
      <c r="G253" s="46">
        <f ca="1">IFERROR(__xludf.DUMMYFUNCTION("""COMPUTED_VALUE"""),0)</f>
        <v>0</v>
      </c>
      <c r="H253" s="46">
        <f ca="1">IFERROR(__xludf.DUMMYFUNCTION("""COMPUTED_VALUE"""),0)</f>
        <v>0</v>
      </c>
      <c r="I253" s="46">
        <f ca="1">IFERROR(__xludf.DUMMYFUNCTION("""COMPUTED_VALUE"""),2)</f>
        <v>2</v>
      </c>
      <c r="J253" s="46">
        <f ca="1">IFERROR(__xludf.DUMMYFUNCTION("""COMPUTED_VALUE"""),0)</f>
        <v>0</v>
      </c>
      <c r="K253" s="46">
        <f ca="1">IFERROR(__xludf.DUMMYFUNCTION("""COMPUTED_VALUE"""),0)</f>
        <v>0</v>
      </c>
      <c r="L253" s="46">
        <f ca="1">IFERROR(__xludf.DUMMYFUNCTION("""COMPUTED_VALUE"""),0)</f>
        <v>0</v>
      </c>
      <c r="M253" s="46">
        <f ca="1">IFERROR(__xludf.DUMMYFUNCTION("""COMPUTED_VALUE"""),0)</f>
        <v>0</v>
      </c>
      <c r="N253" s="46">
        <f ca="1">IFERROR(__xludf.DUMMYFUNCTION("""COMPUTED_VALUE"""),0)</f>
        <v>0</v>
      </c>
      <c r="O253" s="50">
        <f t="shared" ca="1" si="1"/>
        <v>7</v>
      </c>
    </row>
    <row r="254" spans="1:15" ht="12.75">
      <c r="A254" s="50" t="str">
        <f ca="1">IFERROR(__xludf.DUMMYFUNCTION("""COMPUTED_VALUE"""),"CD68")</f>
        <v>CD68</v>
      </c>
      <c r="B254" s="77" t="str">
        <f ca="1">IFERROR(__xludf.DUMMYFUNCTION("""COMPUTED_VALUE"""),"06680020")</f>
        <v>06680020</v>
      </c>
      <c r="C254" s="48" t="str">
        <f ca="1">IFERROR(__xludf.DUMMYFUNCTION("""COMPUTED_VALUE"""),"OSTHEIM CPPC")</f>
        <v>OSTHEIM CPPC</v>
      </c>
      <c r="D254" s="46">
        <f ca="1">IFERROR(__xludf.DUMMYFUNCTION("""COMPUTED_VALUE"""),0)</f>
        <v>0</v>
      </c>
      <c r="E254" s="46">
        <f ca="1">IFERROR(__xludf.DUMMYFUNCTION("""COMPUTED_VALUE"""),0)</f>
        <v>0</v>
      </c>
      <c r="F254" s="46">
        <f ca="1">IFERROR(__xludf.DUMMYFUNCTION("""COMPUTED_VALUE"""),0)</f>
        <v>0</v>
      </c>
      <c r="G254" s="46">
        <f ca="1">IFERROR(__xludf.DUMMYFUNCTION("""COMPUTED_VALUE"""),0)</f>
        <v>0</v>
      </c>
      <c r="H254" s="46">
        <f ca="1">IFERROR(__xludf.DUMMYFUNCTION("""COMPUTED_VALUE"""),0)</f>
        <v>0</v>
      </c>
      <c r="I254" s="46">
        <f ca="1">IFERROR(__xludf.DUMMYFUNCTION("""COMPUTED_VALUE"""),0)</f>
        <v>0</v>
      </c>
      <c r="J254" s="46">
        <f ca="1">IFERROR(__xludf.DUMMYFUNCTION("""COMPUTED_VALUE"""),0)</f>
        <v>0</v>
      </c>
      <c r="K254" s="46">
        <f ca="1">IFERROR(__xludf.DUMMYFUNCTION("""COMPUTED_VALUE"""),0)</f>
        <v>0</v>
      </c>
      <c r="L254" s="46">
        <f ca="1">IFERROR(__xludf.DUMMYFUNCTION("""COMPUTED_VALUE"""),0)</f>
        <v>0</v>
      </c>
      <c r="M254" s="46">
        <f ca="1">IFERROR(__xludf.DUMMYFUNCTION("""COMPUTED_VALUE"""),0)</f>
        <v>0</v>
      </c>
      <c r="N254" s="46">
        <f ca="1">IFERROR(__xludf.DUMMYFUNCTION("""COMPUTED_VALUE"""),0)</f>
        <v>0</v>
      </c>
      <c r="O254" s="50">
        <f t="shared" ca="1" si="1"/>
        <v>0</v>
      </c>
    </row>
    <row r="255" spans="1:15" ht="12.75">
      <c r="A255" s="50" t="str">
        <f ca="1">IFERROR(__xludf.DUMMYFUNCTION("""COMPUTED_VALUE"""),"CD68")</f>
        <v>CD68</v>
      </c>
      <c r="B255" s="77" t="str">
        <f ca="1">IFERROR(__xludf.DUMMYFUNCTION("""COMPUTED_VALUE"""),"06680059")</f>
        <v>06680059</v>
      </c>
      <c r="C255" s="48" t="str">
        <f ca="1">IFERROR(__xludf.DUMMYFUNCTION("""COMPUTED_VALUE"""),"HORBOURG-WIHR TT")</f>
        <v>HORBOURG-WIHR TT</v>
      </c>
      <c r="D255" s="46">
        <f ca="1">IFERROR(__xludf.DUMMYFUNCTION("""COMPUTED_VALUE"""),0)</f>
        <v>0</v>
      </c>
      <c r="E255" s="46">
        <f ca="1">IFERROR(__xludf.DUMMYFUNCTION("""COMPUTED_VALUE"""),0)</f>
        <v>0</v>
      </c>
      <c r="F255" s="46">
        <f ca="1">IFERROR(__xludf.DUMMYFUNCTION("""COMPUTED_VALUE"""),0)</f>
        <v>0</v>
      </c>
      <c r="G255" s="46">
        <f ca="1">IFERROR(__xludf.DUMMYFUNCTION("""COMPUTED_VALUE"""),0)</f>
        <v>0</v>
      </c>
      <c r="H255" s="46">
        <f ca="1">IFERROR(__xludf.DUMMYFUNCTION("""COMPUTED_VALUE"""),0)</f>
        <v>0</v>
      </c>
      <c r="I255" s="46">
        <f ca="1">IFERROR(__xludf.DUMMYFUNCTION("""COMPUTED_VALUE"""),0)</f>
        <v>0</v>
      </c>
      <c r="J255" s="46">
        <f ca="1">IFERROR(__xludf.DUMMYFUNCTION("""COMPUTED_VALUE"""),0)</f>
        <v>0</v>
      </c>
      <c r="K255" s="46">
        <f ca="1">IFERROR(__xludf.DUMMYFUNCTION("""COMPUTED_VALUE"""),0)</f>
        <v>0</v>
      </c>
      <c r="L255" s="46">
        <f ca="1">IFERROR(__xludf.DUMMYFUNCTION("""COMPUTED_VALUE"""),0)</f>
        <v>0</v>
      </c>
      <c r="M255" s="46">
        <f ca="1">IFERROR(__xludf.DUMMYFUNCTION("""COMPUTED_VALUE"""),0)</f>
        <v>0</v>
      </c>
      <c r="N255" s="46">
        <f ca="1">IFERROR(__xludf.DUMMYFUNCTION("""COMPUTED_VALUE"""),0)</f>
        <v>0</v>
      </c>
      <c r="O255" s="50">
        <f t="shared" ca="1" si="1"/>
        <v>0</v>
      </c>
    </row>
    <row r="256" spans="1:15" ht="12.75">
      <c r="A256" s="50" t="str">
        <f ca="1">IFERROR(__xludf.DUMMYFUNCTION("""COMPUTED_VALUE"""),"CD68")</f>
        <v>CD68</v>
      </c>
      <c r="B256" s="77" t="str">
        <f ca="1">IFERROR(__xludf.DUMMYFUNCTION("""COMPUTED_VALUE"""),"06680071")</f>
        <v>06680071</v>
      </c>
      <c r="C256" s="48" t="str">
        <f ca="1">IFERROR(__xludf.DUMMYFUNCTION("""COMPUTED_VALUE"""),"ISSENHEIM TT")</f>
        <v>ISSENHEIM TT</v>
      </c>
      <c r="D256" s="46">
        <f ca="1">IFERROR(__xludf.DUMMYFUNCTION("""COMPUTED_VALUE"""),1)</f>
        <v>1</v>
      </c>
      <c r="E256" s="46">
        <f ca="1">IFERROR(__xludf.DUMMYFUNCTION("""COMPUTED_VALUE"""),0)</f>
        <v>0</v>
      </c>
      <c r="F256" s="46">
        <f ca="1">IFERROR(__xludf.DUMMYFUNCTION("""COMPUTED_VALUE"""),2)</f>
        <v>2</v>
      </c>
      <c r="G256" s="46">
        <f ca="1">IFERROR(__xludf.DUMMYFUNCTION("""COMPUTED_VALUE"""),0)</f>
        <v>0</v>
      </c>
      <c r="H256" s="46">
        <f ca="1">IFERROR(__xludf.DUMMYFUNCTION("""COMPUTED_VALUE"""),0)</f>
        <v>0</v>
      </c>
      <c r="I256" s="46">
        <f ca="1">IFERROR(__xludf.DUMMYFUNCTION("""COMPUTED_VALUE"""),2)</f>
        <v>2</v>
      </c>
      <c r="J256" s="46">
        <f ca="1">IFERROR(__xludf.DUMMYFUNCTION("""COMPUTED_VALUE"""),0)</f>
        <v>0</v>
      </c>
      <c r="K256" s="46">
        <f ca="1">IFERROR(__xludf.DUMMYFUNCTION("""COMPUTED_VALUE"""),0)</f>
        <v>0</v>
      </c>
      <c r="L256" s="46">
        <f ca="1">IFERROR(__xludf.DUMMYFUNCTION("""COMPUTED_VALUE"""),0)</f>
        <v>0</v>
      </c>
      <c r="M256" s="46">
        <f ca="1">IFERROR(__xludf.DUMMYFUNCTION("""COMPUTED_VALUE"""),0)</f>
        <v>0</v>
      </c>
      <c r="N256" s="46">
        <f ca="1">IFERROR(__xludf.DUMMYFUNCTION("""COMPUTED_VALUE"""),0)</f>
        <v>0</v>
      </c>
      <c r="O256" s="50">
        <f t="shared" ca="1" si="1"/>
        <v>5</v>
      </c>
    </row>
    <row r="257" spans="1:15" ht="12.75">
      <c r="A257" s="50" t="str">
        <f ca="1">IFERROR(__xludf.DUMMYFUNCTION("""COMPUTED_VALUE"""),"CD68")</f>
        <v>CD68</v>
      </c>
      <c r="B257" s="77" t="str">
        <f ca="1">IFERROR(__xludf.DUMMYFUNCTION("""COMPUTED_VALUE"""),"06680080")</f>
        <v>06680080</v>
      </c>
      <c r="C257" s="48" t="str">
        <f ca="1">IFERROR(__xludf.DUMMYFUNCTION("""COMPUTED_VALUE"""),"COLMAR AJE")</f>
        <v>COLMAR AJE</v>
      </c>
      <c r="D257" s="46">
        <f ca="1">IFERROR(__xludf.DUMMYFUNCTION("""COMPUTED_VALUE"""),0)</f>
        <v>0</v>
      </c>
      <c r="E257" s="46">
        <f ca="1">IFERROR(__xludf.DUMMYFUNCTION("""COMPUTED_VALUE"""),0)</f>
        <v>0</v>
      </c>
      <c r="F257" s="46">
        <f ca="1">IFERROR(__xludf.DUMMYFUNCTION("""COMPUTED_VALUE"""),1)</f>
        <v>1</v>
      </c>
      <c r="G257" s="46">
        <f ca="1">IFERROR(__xludf.DUMMYFUNCTION("""COMPUTED_VALUE"""),0)</f>
        <v>0</v>
      </c>
      <c r="H257" s="46">
        <f ca="1">IFERROR(__xludf.DUMMYFUNCTION("""COMPUTED_VALUE"""),0)</f>
        <v>0</v>
      </c>
      <c r="I257" s="46">
        <f ca="1">IFERROR(__xludf.DUMMYFUNCTION("""COMPUTED_VALUE"""),1)</f>
        <v>1</v>
      </c>
      <c r="J257" s="46">
        <f ca="1">IFERROR(__xludf.DUMMYFUNCTION("""COMPUTED_VALUE"""),0)</f>
        <v>0</v>
      </c>
      <c r="K257" s="46">
        <f ca="1">IFERROR(__xludf.DUMMYFUNCTION("""COMPUTED_VALUE"""),0)</f>
        <v>0</v>
      </c>
      <c r="L257" s="46">
        <f ca="1">IFERROR(__xludf.DUMMYFUNCTION("""COMPUTED_VALUE"""),0)</f>
        <v>0</v>
      </c>
      <c r="M257" s="46">
        <f ca="1">IFERROR(__xludf.DUMMYFUNCTION("""COMPUTED_VALUE"""),0)</f>
        <v>0</v>
      </c>
      <c r="N257" s="46">
        <f ca="1">IFERROR(__xludf.DUMMYFUNCTION("""COMPUTED_VALUE"""),0)</f>
        <v>0</v>
      </c>
      <c r="O257" s="50">
        <f t="shared" ca="1" si="1"/>
        <v>2</v>
      </c>
    </row>
    <row r="258" spans="1:15" ht="12.75">
      <c r="A258" s="50" t="str">
        <f ca="1">IFERROR(__xludf.DUMMYFUNCTION("""COMPUTED_VALUE"""),"CD68")</f>
        <v>CD68</v>
      </c>
      <c r="B258" s="77" t="str">
        <f ca="1">IFERROR(__xludf.DUMMYFUNCTION("""COMPUTED_VALUE"""),"06680082")</f>
        <v>06680082</v>
      </c>
      <c r="C258" s="48" t="str">
        <f ca="1">IFERROR(__xludf.DUMMYFUNCTION("""COMPUTED_VALUE"""),"SAINT-LOUIS TT")</f>
        <v>SAINT-LOUIS TT</v>
      </c>
      <c r="D258" s="46">
        <f ca="1">IFERROR(__xludf.DUMMYFUNCTION("""COMPUTED_VALUE"""),5)</f>
        <v>5</v>
      </c>
      <c r="E258" s="46">
        <f ca="1">IFERROR(__xludf.DUMMYFUNCTION("""COMPUTED_VALUE"""),0)</f>
        <v>0</v>
      </c>
      <c r="F258" s="46">
        <f ca="1">IFERROR(__xludf.DUMMYFUNCTION("""COMPUTED_VALUE"""),4)</f>
        <v>4</v>
      </c>
      <c r="G258" s="46">
        <f ca="1">IFERROR(__xludf.DUMMYFUNCTION("""COMPUTED_VALUE"""),0)</f>
        <v>0</v>
      </c>
      <c r="H258" s="46">
        <f ca="1">IFERROR(__xludf.DUMMYFUNCTION("""COMPUTED_VALUE"""),0)</f>
        <v>0</v>
      </c>
      <c r="I258" s="46">
        <f ca="1">IFERROR(__xludf.DUMMYFUNCTION("""COMPUTED_VALUE"""),4)</f>
        <v>4</v>
      </c>
      <c r="J258" s="46">
        <f ca="1">IFERROR(__xludf.DUMMYFUNCTION("""COMPUTED_VALUE"""),0)</f>
        <v>0</v>
      </c>
      <c r="K258" s="46">
        <f ca="1">IFERROR(__xludf.DUMMYFUNCTION("""COMPUTED_VALUE"""),0)</f>
        <v>0</v>
      </c>
      <c r="L258" s="46">
        <f ca="1">IFERROR(__xludf.DUMMYFUNCTION("""COMPUTED_VALUE"""),0)</f>
        <v>0</v>
      </c>
      <c r="M258" s="46">
        <f ca="1">IFERROR(__xludf.DUMMYFUNCTION("""COMPUTED_VALUE"""),0)</f>
        <v>0</v>
      </c>
      <c r="N258" s="46">
        <f ca="1">IFERROR(__xludf.DUMMYFUNCTION("""COMPUTED_VALUE"""),0)</f>
        <v>0</v>
      </c>
      <c r="O258" s="50">
        <f t="shared" ca="1" si="1"/>
        <v>13</v>
      </c>
    </row>
    <row r="259" spans="1:15" ht="12.75">
      <c r="A259" s="50" t="str">
        <f ca="1">IFERROR(__xludf.DUMMYFUNCTION("""COMPUTED_VALUE"""),"CD68")</f>
        <v>CD68</v>
      </c>
      <c r="B259" s="77" t="str">
        <f ca="1">IFERROR(__xludf.DUMMYFUNCTION("""COMPUTED_VALUE"""),"06680090")</f>
        <v>06680090</v>
      </c>
      <c r="C259" s="48" t="str">
        <f ca="1">IFERROR(__xludf.DUMMYFUNCTION("""COMPUTED_VALUE"""),"INGERSHEIM SSSA")</f>
        <v>INGERSHEIM SSSA</v>
      </c>
      <c r="D259" s="46">
        <f ca="1">IFERROR(__xludf.DUMMYFUNCTION("""COMPUTED_VALUE"""),0)</f>
        <v>0</v>
      </c>
      <c r="E259" s="46">
        <f ca="1">IFERROR(__xludf.DUMMYFUNCTION("""COMPUTED_VALUE"""),0)</f>
        <v>0</v>
      </c>
      <c r="F259" s="46">
        <f ca="1">IFERROR(__xludf.DUMMYFUNCTION("""COMPUTED_VALUE"""),3)</f>
        <v>3</v>
      </c>
      <c r="G259" s="46">
        <f ca="1">IFERROR(__xludf.DUMMYFUNCTION("""COMPUTED_VALUE"""),0)</f>
        <v>0</v>
      </c>
      <c r="H259" s="46">
        <f ca="1">IFERROR(__xludf.DUMMYFUNCTION("""COMPUTED_VALUE"""),0)</f>
        <v>0</v>
      </c>
      <c r="I259" s="46">
        <f ca="1">IFERROR(__xludf.DUMMYFUNCTION("""COMPUTED_VALUE"""),2)</f>
        <v>2</v>
      </c>
      <c r="J259" s="46">
        <f ca="1">IFERROR(__xludf.DUMMYFUNCTION("""COMPUTED_VALUE"""),0)</f>
        <v>0</v>
      </c>
      <c r="K259" s="46">
        <f ca="1">IFERROR(__xludf.DUMMYFUNCTION("""COMPUTED_VALUE"""),0)</f>
        <v>0</v>
      </c>
      <c r="L259" s="46">
        <f ca="1">IFERROR(__xludf.DUMMYFUNCTION("""COMPUTED_VALUE"""),0)</f>
        <v>0</v>
      </c>
      <c r="M259" s="46">
        <f ca="1">IFERROR(__xludf.DUMMYFUNCTION("""COMPUTED_VALUE"""),0)</f>
        <v>0</v>
      </c>
      <c r="N259" s="46">
        <f ca="1">IFERROR(__xludf.DUMMYFUNCTION("""COMPUTED_VALUE"""),0)</f>
        <v>0</v>
      </c>
      <c r="O259" s="50">
        <f t="shared" ca="1" si="1"/>
        <v>5</v>
      </c>
    </row>
    <row r="260" spans="1:15" ht="12.75">
      <c r="A260" s="50" t="str">
        <f ca="1">IFERROR(__xludf.DUMMYFUNCTION("""COMPUTED_VALUE"""),"CD68")</f>
        <v>CD68</v>
      </c>
      <c r="B260" s="77" t="str">
        <f ca="1">IFERROR(__xludf.DUMMYFUNCTION("""COMPUTED_VALUE"""),"06680091")</f>
        <v>06680091</v>
      </c>
      <c r="C260" s="48" t="str">
        <f ca="1">IFERROR(__xludf.DUMMYFUNCTION("""COMPUTED_VALUE"""),"ILLZACH TTSJB")</f>
        <v>ILLZACH TTSJB</v>
      </c>
      <c r="D260" s="46">
        <f ca="1">IFERROR(__xludf.DUMMYFUNCTION("""COMPUTED_VALUE"""),5)</f>
        <v>5</v>
      </c>
      <c r="E260" s="46">
        <f ca="1">IFERROR(__xludf.DUMMYFUNCTION("""COMPUTED_VALUE"""),0)</f>
        <v>0</v>
      </c>
      <c r="F260" s="46">
        <f ca="1">IFERROR(__xludf.DUMMYFUNCTION("""COMPUTED_VALUE"""),5)</f>
        <v>5</v>
      </c>
      <c r="G260" s="46">
        <f ca="1">IFERROR(__xludf.DUMMYFUNCTION("""COMPUTED_VALUE"""),0)</f>
        <v>0</v>
      </c>
      <c r="H260" s="46">
        <f ca="1">IFERROR(__xludf.DUMMYFUNCTION("""COMPUTED_VALUE"""),0)</f>
        <v>0</v>
      </c>
      <c r="I260" s="46">
        <f ca="1">IFERROR(__xludf.DUMMYFUNCTION("""COMPUTED_VALUE"""),3)</f>
        <v>3</v>
      </c>
      <c r="J260" s="46">
        <f ca="1">IFERROR(__xludf.DUMMYFUNCTION("""COMPUTED_VALUE"""),1)</f>
        <v>1</v>
      </c>
      <c r="K260" s="46">
        <f ca="1">IFERROR(__xludf.DUMMYFUNCTION("""COMPUTED_VALUE"""),0)</f>
        <v>0</v>
      </c>
      <c r="L260" s="46">
        <f ca="1">IFERROR(__xludf.DUMMYFUNCTION("""COMPUTED_VALUE"""),0)</f>
        <v>0</v>
      </c>
      <c r="M260" s="46">
        <f ca="1">IFERROR(__xludf.DUMMYFUNCTION("""COMPUTED_VALUE"""),0)</f>
        <v>0</v>
      </c>
      <c r="N260" s="46">
        <f ca="1">IFERROR(__xludf.DUMMYFUNCTION("""COMPUTED_VALUE"""),0)</f>
        <v>0</v>
      </c>
      <c r="O260" s="50">
        <f t="shared" ca="1" si="1"/>
        <v>14</v>
      </c>
    </row>
    <row r="261" spans="1:15" ht="12.75">
      <c r="A261" s="50" t="str">
        <f ca="1">IFERROR(__xludf.DUMMYFUNCTION("""COMPUTED_VALUE"""),"CD68")</f>
        <v>CD68</v>
      </c>
      <c r="B261" s="77" t="str">
        <f ca="1">IFERROR(__xludf.DUMMYFUNCTION("""COMPUTED_VALUE"""),"06680102")</f>
        <v>06680102</v>
      </c>
      <c r="C261" s="48" t="str">
        <f ca="1">IFERROR(__xludf.DUMMYFUNCTION("""COMPUTED_VALUE"""),"HUNINGUE TTC")</f>
        <v>HUNINGUE TTC</v>
      </c>
      <c r="D261" s="46">
        <f ca="1">IFERROR(__xludf.DUMMYFUNCTION("""COMPUTED_VALUE"""),0)</f>
        <v>0</v>
      </c>
      <c r="E261" s="46">
        <f ca="1">IFERROR(__xludf.DUMMYFUNCTION("""COMPUTED_VALUE"""),0)</f>
        <v>0</v>
      </c>
      <c r="F261" s="46">
        <f ca="1">IFERROR(__xludf.DUMMYFUNCTION("""COMPUTED_VALUE"""),1)</f>
        <v>1</v>
      </c>
      <c r="G261" s="46">
        <f ca="1">IFERROR(__xludf.DUMMYFUNCTION("""COMPUTED_VALUE"""),0)</f>
        <v>0</v>
      </c>
      <c r="H261" s="46">
        <f ca="1">IFERROR(__xludf.DUMMYFUNCTION("""COMPUTED_VALUE"""),0)</f>
        <v>0</v>
      </c>
      <c r="I261" s="46">
        <f ca="1">IFERROR(__xludf.DUMMYFUNCTION("""COMPUTED_VALUE"""),0)</f>
        <v>0</v>
      </c>
      <c r="J261" s="46">
        <f ca="1">IFERROR(__xludf.DUMMYFUNCTION("""COMPUTED_VALUE"""),0)</f>
        <v>0</v>
      </c>
      <c r="K261" s="46">
        <f ca="1">IFERROR(__xludf.DUMMYFUNCTION("""COMPUTED_VALUE"""),0)</f>
        <v>0</v>
      </c>
      <c r="L261" s="46">
        <f ca="1">IFERROR(__xludf.DUMMYFUNCTION("""COMPUTED_VALUE"""),0)</f>
        <v>0</v>
      </c>
      <c r="M261" s="46">
        <f ca="1">IFERROR(__xludf.DUMMYFUNCTION("""COMPUTED_VALUE"""),0)</f>
        <v>0</v>
      </c>
      <c r="N261" s="46">
        <f ca="1">IFERROR(__xludf.DUMMYFUNCTION("""COMPUTED_VALUE"""),0)</f>
        <v>0</v>
      </c>
      <c r="O261" s="50">
        <f t="shared" ca="1" si="1"/>
        <v>1</v>
      </c>
    </row>
    <row r="262" spans="1:15" ht="12.75">
      <c r="A262" s="50" t="str">
        <f ca="1">IFERROR(__xludf.DUMMYFUNCTION("""COMPUTED_VALUE"""),"CD68")</f>
        <v>CD68</v>
      </c>
      <c r="B262" s="77" t="str">
        <f ca="1">IFERROR(__xludf.DUMMYFUNCTION("""COMPUTED_VALUE"""),"06680105")</f>
        <v>06680105</v>
      </c>
      <c r="C262" s="48" t="str">
        <f ca="1">IFERROR(__xludf.DUMMYFUNCTION("""COMPUTED_VALUE"""),"MULHOUSE TENNIS DE TABLE")</f>
        <v>MULHOUSE TENNIS DE TABLE</v>
      </c>
      <c r="D262" s="46">
        <f ca="1">IFERROR(__xludf.DUMMYFUNCTION("""COMPUTED_VALUE"""),7)</f>
        <v>7</v>
      </c>
      <c r="E262" s="46">
        <f ca="1">IFERROR(__xludf.DUMMYFUNCTION("""COMPUTED_VALUE"""),0)</f>
        <v>0</v>
      </c>
      <c r="F262" s="46">
        <f ca="1">IFERROR(__xludf.DUMMYFUNCTION("""COMPUTED_VALUE"""),12)</f>
        <v>12</v>
      </c>
      <c r="G262" s="46">
        <f ca="1">IFERROR(__xludf.DUMMYFUNCTION("""COMPUTED_VALUE"""),0)</f>
        <v>0</v>
      </c>
      <c r="H262" s="46">
        <f ca="1">IFERROR(__xludf.DUMMYFUNCTION("""COMPUTED_VALUE"""),0)</f>
        <v>0</v>
      </c>
      <c r="I262" s="46">
        <f ca="1">IFERROR(__xludf.DUMMYFUNCTION("""COMPUTED_VALUE"""),4)</f>
        <v>4</v>
      </c>
      <c r="J262" s="46">
        <f ca="1">IFERROR(__xludf.DUMMYFUNCTION("""COMPUTED_VALUE"""),0)</f>
        <v>0</v>
      </c>
      <c r="K262" s="46">
        <f ca="1">IFERROR(__xludf.DUMMYFUNCTION("""COMPUTED_VALUE"""),0)</f>
        <v>0</v>
      </c>
      <c r="L262" s="46">
        <f ca="1">IFERROR(__xludf.DUMMYFUNCTION("""COMPUTED_VALUE"""),0)</f>
        <v>0</v>
      </c>
      <c r="M262" s="46">
        <f ca="1">IFERROR(__xludf.DUMMYFUNCTION("""COMPUTED_VALUE"""),0)</f>
        <v>0</v>
      </c>
      <c r="N262" s="46">
        <f ca="1">IFERROR(__xludf.DUMMYFUNCTION("""COMPUTED_VALUE"""),0)</f>
        <v>0</v>
      </c>
      <c r="O262" s="50">
        <f t="shared" ca="1" si="1"/>
        <v>23</v>
      </c>
    </row>
    <row r="263" spans="1:15" ht="12.75">
      <c r="A263" s="50" t="str">
        <f ca="1">IFERROR(__xludf.DUMMYFUNCTION("""COMPUTED_VALUE"""),"CD68")</f>
        <v>CD68</v>
      </c>
      <c r="B263" s="77" t="str">
        <f ca="1">IFERROR(__xludf.DUMMYFUNCTION("""COMPUTED_VALUE"""),"06680111")</f>
        <v>06680111</v>
      </c>
      <c r="C263" s="48" t="str">
        <f ca="1">IFERROR(__xludf.DUMMYFUNCTION("""COMPUTED_VALUE"""),"THANN TENNIS DE TABLE CLUB")</f>
        <v>THANN TENNIS DE TABLE CLUB</v>
      </c>
      <c r="D263" s="46">
        <f ca="1">IFERROR(__xludf.DUMMYFUNCTION("""COMPUTED_VALUE"""),0)</f>
        <v>0</v>
      </c>
      <c r="E263" s="46">
        <f ca="1">IFERROR(__xludf.DUMMYFUNCTION("""COMPUTED_VALUE"""),0)</f>
        <v>0</v>
      </c>
      <c r="F263" s="46">
        <f ca="1">IFERROR(__xludf.DUMMYFUNCTION("""COMPUTED_VALUE"""),3)</f>
        <v>3</v>
      </c>
      <c r="G263" s="46">
        <f ca="1">IFERROR(__xludf.DUMMYFUNCTION("""COMPUTED_VALUE"""),0)</f>
        <v>0</v>
      </c>
      <c r="H263" s="46">
        <f ca="1">IFERROR(__xludf.DUMMYFUNCTION("""COMPUTED_VALUE"""),0)</f>
        <v>0</v>
      </c>
      <c r="I263" s="46">
        <f ca="1">IFERROR(__xludf.DUMMYFUNCTION("""COMPUTED_VALUE"""),3)</f>
        <v>3</v>
      </c>
      <c r="J263" s="46">
        <f ca="1">IFERROR(__xludf.DUMMYFUNCTION("""COMPUTED_VALUE"""),0)</f>
        <v>0</v>
      </c>
      <c r="K263" s="46">
        <f ca="1">IFERROR(__xludf.DUMMYFUNCTION("""COMPUTED_VALUE"""),0)</f>
        <v>0</v>
      </c>
      <c r="L263" s="46">
        <f ca="1">IFERROR(__xludf.DUMMYFUNCTION("""COMPUTED_VALUE"""),0)</f>
        <v>0</v>
      </c>
      <c r="M263" s="46">
        <f ca="1">IFERROR(__xludf.DUMMYFUNCTION("""COMPUTED_VALUE"""),0)</f>
        <v>0</v>
      </c>
      <c r="N263" s="46">
        <f ca="1">IFERROR(__xludf.DUMMYFUNCTION("""COMPUTED_VALUE"""),0)</f>
        <v>0</v>
      </c>
      <c r="O263" s="50">
        <f t="shared" ca="1" si="1"/>
        <v>6</v>
      </c>
    </row>
    <row r="264" spans="1:15" ht="12.75">
      <c r="A264" s="50" t="str">
        <f ca="1">IFERROR(__xludf.DUMMYFUNCTION("""COMPUTED_VALUE"""),"CD68")</f>
        <v>CD68</v>
      </c>
      <c r="B264" s="77" t="str">
        <f ca="1">IFERROR(__xludf.DUMMYFUNCTION("""COMPUTED_VALUE"""),"06680115")</f>
        <v>06680115</v>
      </c>
      <c r="C264" s="48" t="str">
        <f ca="1">IFERROR(__xludf.DUMMYFUNCTION("""COMPUTED_VALUE"""),"MULHOUSE C.C.C. T-T")</f>
        <v>MULHOUSE C.C.C. T-T</v>
      </c>
      <c r="D264" s="46">
        <f ca="1">IFERROR(__xludf.DUMMYFUNCTION("""COMPUTED_VALUE"""),0)</f>
        <v>0</v>
      </c>
      <c r="E264" s="46">
        <f ca="1">IFERROR(__xludf.DUMMYFUNCTION("""COMPUTED_VALUE"""),0)</f>
        <v>0</v>
      </c>
      <c r="F264" s="46">
        <f ca="1">IFERROR(__xludf.DUMMYFUNCTION("""COMPUTED_VALUE"""),0)</f>
        <v>0</v>
      </c>
      <c r="G264" s="46">
        <f ca="1">IFERROR(__xludf.DUMMYFUNCTION("""COMPUTED_VALUE"""),0)</f>
        <v>0</v>
      </c>
      <c r="H264" s="46">
        <f ca="1">IFERROR(__xludf.DUMMYFUNCTION("""COMPUTED_VALUE"""),0)</f>
        <v>0</v>
      </c>
      <c r="I264" s="46">
        <f ca="1">IFERROR(__xludf.DUMMYFUNCTION("""COMPUTED_VALUE"""),0)</f>
        <v>0</v>
      </c>
      <c r="J264" s="46">
        <f ca="1">IFERROR(__xludf.DUMMYFUNCTION("""COMPUTED_VALUE"""),0)</f>
        <v>0</v>
      </c>
      <c r="K264" s="46">
        <f ca="1">IFERROR(__xludf.DUMMYFUNCTION("""COMPUTED_VALUE"""),0)</f>
        <v>0</v>
      </c>
      <c r="L264" s="46">
        <f ca="1">IFERROR(__xludf.DUMMYFUNCTION("""COMPUTED_VALUE"""),0)</f>
        <v>0</v>
      </c>
      <c r="M264" s="46">
        <f ca="1">IFERROR(__xludf.DUMMYFUNCTION("""COMPUTED_VALUE"""),0)</f>
        <v>0</v>
      </c>
      <c r="N264" s="46">
        <f ca="1">IFERROR(__xludf.DUMMYFUNCTION("""COMPUTED_VALUE"""),0)</f>
        <v>0</v>
      </c>
      <c r="O264" s="50">
        <f t="shared" ca="1" si="1"/>
        <v>0</v>
      </c>
    </row>
    <row r="265" spans="1:15" ht="12.75">
      <c r="A265" s="50" t="str">
        <f ca="1">IFERROR(__xludf.DUMMYFUNCTION("""COMPUTED_VALUE"""),"CD68")</f>
        <v>CD68</v>
      </c>
      <c r="B265" s="77" t="str">
        <f ca="1">IFERROR(__xludf.DUMMYFUNCTION("""COMPUTED_VALUE"""),"06680116")</f>
        <v>06680116</v>
      </c>
      <c r="C265" s="48" t="str">
        <f ca="1">IFERROR(__xludf.DUMMYFUNCTION("""COMPUTED_VALUE"""),"WINTZFELDEN TT")</f>
        <v>WINTZFELDEN TT</v>
      </c>
      <c r="D265" s="46">
        <f ca="1">IFERROR(__xludf.DUMMYFUNCTION("""COMPUTED_VALUE"""),0)</f>
        <v>0</v>
      </c>
      <c r="E265" s="46">
        <f ca="1">IFERROR(__xludf.DUMMYFUNCTION("""COMPUTED_VALUE"""),0)</f>
        <v>0</v>
      </c>
      <c r="F265" s="46">
        <f ca="1">IFERROR(__xludf.DUMMYFUNCTION("""COMPUTED_VALUE"""),3)</f>
        <v>3</v>
      </c>
      <c r="G265" s="46">
        <f ca="1">IFERROR(__xludf.DUMMYFUNCTION("""COMPUTED_VALUE"""),0)</f>
        <v>0</v>
      </c>
      <c r="H265" s="46">
        <f ca="1">IFERROR(__xludf.DUMMYFUNCTION("""COMPUTED_VALUE"""),0)</f>
        <v>0</v>
      </c>
      <c r="I265" s="46">
        <f ca="1">IFERROR(__xludf.DUMMYFUNCTION("""COMPUTED_VALUE"""),3)</f>
        <v>3</v>
      </c>
      <c r="J265" s="46">
        <f ca="1">IFERROR(__xludf.DUMMYFUNCTION("""COMPUTED_VALUE"""),0)</f>
        <v>0</v>
      </c>
      <c r="K265" s="46">
        <f ca="1">IFERROR(__xludf.DUMMYFUNCTION("""COMPUTED_VALUE"""),0)</f>
        <v>0</v>
      </c>
      <c r="L265" s="46">
        <f ca="1">IFERROR(__xludf.DUMMYFUNCTION("""COMPUTED_VALUE"""),0)</f>
        <v>0</v>
      </c>
      <c r="M265" s="46">
        <f ca="1">IFERROR(__xludf.DUMMYFUNCTION("""COMPUTED_VALUE"""),0)</f>
        <v>0</v>
      </c>
      <c r="N265" s="46">
        <f ca="1">IFERROR(__xludf.DUMMYFUNCTION("""COMPUTED_VALUE"""),0)</f>
        <v>0</v>
      </c>
      <c r="O265" s="50">
        <f t="shared" ca="1" si="1"/>
        <v>6</v>
      </c>
    </row>
    <row r="266" spans="1:15" ht="12.75">
      <c r="A266" s="50" t="str">
        <f ca="1">IFERROR(__xludf.DUMMYFUNCTION("""COMPUTED_VALUE"""),"CD68")</f>
        <v>CD68</v>
      </c>
      <c r="B266" s="77" t="str">
        <f ca="1">IFERROR(__xludf.DUMMYFUNCTION("""COMPUTED_VALUE"""),"06680118")</f>
        <v>06680118</v>
      </c>
      <c r="C266" s="48" t="str">
        <f ca="1">IFERROR(__xludf.DUMMYFUNCTION("""COMPUTED_VALUE"""),"WITTELSHEIM MDPA TT")</f>
        <v>WITTELSHEIM MDPA TT</v>
      </c>
      <c r="D266" s="46">
        <f ca="1">IFERROR(__xludf.DUMMYFUNCTION("""COMPUTED_VALUE"""),3)</f>
        <v>3</v>
      </c>
      <c r="E266" s="46">
        <f ca="1">IFERROR(__xludf.DUMMYFUNCTION("""COMPUTED_VALUE"""),0)</f>
        <v>0</v>
      </c>
      <c r="F266" s="46">
        <f ca="1">IFERROR(__xludf.DUMMYFUNCTION("""COMPUTED_VALUE"""),1)</f>
        <v>1</v>
      </c>
      <c r="G266" s="46">
        <f ca="1">IFERROR(__xludf.DUMMYFUNCTION("""COMPUTED_VALUE"""),0)</f>
        <v>0</v>
      </c>
      <c r="H266" s="46">
        <f ca="1">IFERROR(__xludf.DUMMYFUNCTION("""COMPUTED_VALUE"""),0)</f>
        <v>0</v>
      </c>
      <c r="I266" s="46">
        <f ca="1">IFERROR(__xludf.DUMMYFUNCTION("""COMPUTED_VALUE"""),1)</f>
        <v>1</v>
      </c>
      <c r="J266" s="46">
        <f ca="1">IFERROR(__xludf.DUMMYFUNCTION("""COMPUTED_VALUE"""),0)</f>
        <v>0</v>
      </c>
      <c r="K266" s="46">
        <f ca="1">IFERROR(__xludf.DUMMYFUNCTION("""COMPUTED_VALUE"""),0)</f>
        <v>0</v>
      </c>
      <c r="L266" s="46">
        <f ca="1">IFERROR(__xludf.DUMMYFUNCTION("""COMPUTED_VALUE"""),0)</f>
        <v>0</v>
      </c>
      <c r="M266" s="46">
        <f ca="1">IFERROR(__xludf.DUMMYFUNCTION("""COMPUTED_VALUE"""),0)</f>
        <v>0</v>
      </c>
      <c r="N266" s="46">
        <f ca="1">IFERROR(__xludf.DUMMYFUNCTION("""COMPUTED_VALUE"""),0)</f>
        <v>0</v>
      </c>
      <c r="O266" s="50">
        <f t="shared" ref="O266:O336" ca="1" si="2">SUM(D266:N266)</f>
        <v>5</v>
      </c>
    </row>
    <row r="267" spans="1:15" ht="12.75">
      <c r="A267" s="50" t="str">
        <f ca="1">IFERROR(__xludf.DUMMYFUNCTION("""COMPUTED_VALUE"""),"CD68")</f>
        <v>CD68</v>
      </c>
      <c r="B267" s="77" t="str">
        <f ca="1">IFERROR(__xludf.DUMMYFUNCTION("""COMPUTED_VALUE"""),"06680119")</f>
        <v>06680119</v>
      </c>
      <c r="C267" s="48" t="str">
        <f ca="1">IFERROR(__xludf.DUMMYFUNCTION("""COMPUTED_VALUE"""),"COLMAR C.C.C. T.T.")</f>
        <v>COLMAR C.C.C. T.T.</v>
      </c>
      <c r="D267" s="46">
        <f ca="1">IFERROR(__xludf.DUMMYFUNCTION("""COMPUTED_VALUE"""),5)</f>
        <v>5</v>
      </c>
      <c r="E267" s="46">
        <f ca="1">IFERROR(__xludf.DUMMYFUNCTION("""COMPUTED_VALUE"""),0)</f>
        <v>0</v>
      </c>
      <c r="F267" s="46">
        <f ca="1">IFERROR(__xludf.DUMMYFUNCTION("""COMPUTED_VALUE"""),0)</f>
        <v>0</v>
      </c>
      <c r="G267" s="46">
        <f ca="1">IFERROR(__xludf.DUMMYFUNCTION("""COMPUTED_VALUE"""),0)</f>
        <v>0</v>
      </c>
      <c r="H267" s="46">
        <f ca="1">IFERROR(__xludf.DUMMYFUNCTION("""COMPUTED_VALUE"""),0)</f>
        <v>0</v>
      </c>
      <c r="I267" s="46">
        <f ca="1">IFERROR(__xludf.DUMMYFUNCTION("""COMPUTED_VALUE"""),0)</f>
        <v>0</v>
      </c>
      <c r="J267" s="46">
        <f ca="1">IFERROR(__xludf.DUMMYFUNCTION("""COMPUTED_VALUE"""),0)</f>
        <v>0</v>
      </c>
      <c r="K267" s="46">
        <f ca="1">IFERROR(__xludf.DUMMYFUNCTION("""COMPUTED_VALUE"""),0)</f>
        <v>0</v>
      </c>
      <c r="L267" s="46">
        <f ca="1">IFERROR(__xludf.DUMMYFUNCTION("""COMPUTED_VALUE"""),0)</f>
        <v>0</v>
      </c>
      <c r="M267" s="46">
        <f ca="1">IFERROR(__xludf.DUMMYFUNCTION("""COMPUTED_VALUE"""),0)</f>
        <v>0</v>
      </c>
      <c r="N267" s="46">
        <f ca="1">IFERROR(__xludf.DUMMYFUNCTION("""COMPUTED_VALUE"""),0)</f>
        <v>0</v>
      </c>
      <c r="O267" s="50">
        <f t="shared" ca="1" si="2"/>
        <v>5</v>
      </c>
    </row>
    <row r="268" spans="1:15" ht="12.75">
      <c r="A268" s="50" t="str">
        <f ca="1">IFERROR(__xludf.DUMMYFUNCTION("""COMPUTED_VALUE"""),"CD68")</f>
        <v>CD68</v>
      </c>
      <c r="B268" s="77" t="str">
        <f ca="1">IFERROR(__xludf.DUMMYFUNCTION("""COMPUTED_VALUE"""),"06680120")</f>
        <v>06680120</v>
      </c>
      <c r="C268" s="48" t="str">
        <f ca="1">IFERROR(__xludf.DUMMYFUNCTION("""COMPUTED_VALUE"""),"ANDOLSHEIM Tennis de Table")</f>
        <v>ANDOLSHEIM Tennis de Table</v>
      </c>
      <c r="D268" s="46">
        <f ca="1">IFERROR(__xludf.DUMMYFUNCTION("""COMPUTED_VALUE"""),1)</f>
        <v>1</v>
      </c>
      <c r="E268" s="46">
        <f ca="1">IFERROR(__xludf.DUMMYFUNCTION("""COMPUTED_VALUE"""),0)</f>
        <v>0</v>
      </c>
      <c r="F268" s="46">
        <f ca="1">IFERROR(__xludf.DUMMYFUNCTION("""COMPUTED_VALUE"""),0)</f>
        <v>0</v>
      </c>
      <c r="G268" s="46">
        <f ca="1">IFERROR(__xludf.DUMMYFUNCTION("""COMPUTED_VALUE"""),0)</f>
        <v>0</v>
      </c>
      <c r="H268" s="46">
        <f ca="1">IFERROR(__xludf.DUMMYFUNCTION("""COMPUTED_VALUE"""),0)</f>
        <v>0</v>
      </c>
      <c r="I268" s="46">
        <f ca="1">IFERROR(__xludf.DUMMYFUNCTION("""COMPUTED_VALUE"""),0)</f>
        <v>0</v>
      </c>
      <c r="J268" s="46">
        <f ca="1">IFERROR(__xludf.DUMMYFUNCTION("""COMPUTED_VALUE"""),0)</f>
        <v>0</v>
      </c>
      <c r="K268" s="46">
        <f ca="1">IFERROR(__xludf.DUMMYFUNCTION("""COMPUTED_VALUE"""),0)</f>
        <v>0</v>
      </c>
      <c r="L268" s="46">
        <f ca="1">IFERROR(__xludf.DUMMYFUNCTION("""COMPUTED_VALUE"""),0)</f>
        <v>0</v>
      </c>
      <c r="M268" s="46">
        <f ca="1">IFERROR(__xludf.DUMMYFUNCTION("""COMPUTED_VALUE"""),0)</f>
        <v>0</v>
      </c>
      <c r="N268" s="46">
        <f ca="1">IFERROR(__xludf.DUMMYFUNCTION("""COMPUTED_VALUE"""),0)</f>
        <v>0</v>
      </c>
      <c r="O268" s="50">
        <f t="shared" ca="1" si="2"/>
        <v>1</v>
      </c>
    </row>
    <row r="269" spans="1:15" ht="12.75">
      <c r="A269" s="50" t="str">
        <f ca="1">IFERROR(__xludf.DUMMYFUNCTION("""COMPUTED_VALUE"""),"CD68")</f>
        <v>CD68</v>
      </c>
      <c r="B269" s="77" t="str">
        <f ca="1">IFERROR(__xludf.DUMMYFUNCTION("""COMPUTED_VALUE"""),"06680123")</f>
        <v>06680123</v>
      </c>
      <c r="C269" s="48" t="str">
        <f ca="1">IFERROR(__xludf.DUMMYFUNCTION("""COMPUTED_VALUE"""),"ENSISHEIM T.T.M.C")</f>
        <v>ENSISHEIM T.T.M.C</v>
      </c>
      <c r="D269" s="46">
        <f ca="1">IFERROR(__xludf.DUMMYFUNCTION("""COMPUTED_VALUE"""),0)</f>
        <v>0</v>
      </c>
      <c r="E269" s="46">
        <f ca="1">IFERROR(__xludf.DUMMYFUNCTION("""COMPUTED_VALUE"""),0)</f>
        <v>0</v>
      </c>
      <c r="F269" s="46">
        <f ca="1">IFERROR(__xludf.DUMMYFUNCTION("""COMPUTED_VALUE"""),0)</f>
        <v>0</v>
      </c>
      <c r="G269" s="46">
        <f ca="1">IFERROR(__xludf.DUMMYFUNCTION("""COMPUTED_VALUE"""),0)</f>
        <v>0</v>
      </c>
      <c r="H269" s="46">
        <f ca="1">IFERROR(__xludf.DUMMYFUNCTION("""COMPUTED_VALUE"""),0)</f>
        <v>0</v>
      </c>
      <c r="I269" s="46">
        <f ca="1">IFERROR(__xludf.DUMMYFUNCTION("""COMPUTED_VALUE"""),0)</f>
        <v>0</v>
      </c>
      <c r="J269" s="46">
        <f ca="1">IFERROR(__xludf.DUMMYFUNCTION("""COMPUTED_VALUE"""),0)</f>
        <v>0</v>
      </c>
      <c r="K269" s="46">
        <f ca="1">IFERROR(__xludf.DUMMYFUNCTION("""COMPUTED_VALUE"""),0)</f>
        <v>0</v>
      </c>
      <c r="L269" s="46">
        <f ca="1">IFERROR(__xludf.DUMMYFUNCTION("""COMPUTED_VALUE"""),0)</f>
        <v>0</v>
      </c>
      <c r="M269" s="46">
        <f ca="1">IFERROR(__xludf.DUMMYFUNCTION("""COMPUTED_VALUE"""),0)</f>
        <v>0</v>
      </c>
      <c r="N269" s="46">
        <f ca="1">IFERROR(__xludf.DUMMYFUNCTION("""COMPUTED_VALUE"""),0)</f>
        <v>0</v>
      </c>
      <c r="O269" s="50">
        <f t="shared" ca="1" si="2"/>
        <v>0</v>
      </c>
    </row>
    <row r="270" spans="1:15" ht="12.75">
      <c r="A270" s="50" t="str">
        <f ca="1">IFERROR(__xludf.DUMMYFUNCTION("""COMPUTED_VALUE"""),"CD68")</f>
        <v>CD68</v>
      </c>
      <c r="B270" s="77" t="str">
        <f ca="1">IFERROR(__xludf.DUMMYFUNCTION("""COMPUTED_VALUE"""),"06680125")</f>
        <v>06680125</v>
      </c>
      <c r="C270" s="48" t="str">
        <f ca="1">IFERROR(__xludf.DUMMYFUNCTION("""COMPUTED_VALUE"""),"ROSENAU TT")</f>
        <v>ROSENAU TT</v>
      </c>
      <c r="D270" s="46">
        <f ca="1">IFERROR(__xludf.DUMMYFUNCTION("""COMPUTED_VALUE"""),3)</f>
        <v>3</v>
      </c>
      <c r="E270" s="46">
        <f ca="1">IFERROR(__xludf.DUMMYFUNCTION("""COMPUTED_VALUE"""),0)</f>
        <v>0</v>
      </c>
      <c r="F270" s="46">
        <f ca="1">IFERROR(__xludf.DUMMYFUNCTION("""COMPUTED_VALUE"""),4)</f>
        <v>4</v>
      </c>
      <c r="G270" s="46">
        <f ca="1">IFERROR(__xludf.DUMMYFUNCTION("""COMPUTED_VALUE"""),0)</f>
        <v>0</v>
      </c>
      <c r="H270" s="46">
        <f ca="1">IFERROR(__xludf.DUMMYFUNCTION("""COMPUTED_VALUE"""),0)</f>
        <v>0</v>
      </c>
      <c r="I270" s="46">
        <f ca="1">IFERROR(__xludf.DUMMYFUNCTION("""COMPUTED_VALUE"""),3)</f>
        <v>3</v>
      </c>
      <c r="J270" s="46">
        <f ca="1">IFERROR(__xludf.DUMMYFUNCTION("""COMPUTED_VALUE"""),0)</f>
        <v>0</v>
      </c>
      <c r="K270" s="46">
        <f ca="1">IFERROR(__xludf.DUMMYFUNCTION("""COMPUTED_VALUE"""),0)</f>
        <v>0</v>
      </c>
      <c r="L270" s="46">
        <f ca="1">IFERROR(__xludf.DUMMYFUNCTION("""COMPUTED_VALUE"""),0)</f>
        <v>0</v>
      </c>
      <c r="M270" s="46">
        <f ca="1">IFERROR(__xludf.DUMMYFUNCTION("""COMPUTED_VALUE"""),0)</f>
        <v>0</v>
      </c>
      <c r="N270" s="46">
        <f ca="1">IFERROR(__xludf.DUMMYFUNCTION("""COMPUTED_VALUE"""),0)</f>
        <v>0</v>
      </c>
      <c r="O270" s="50">
        <f t="shared" ca="1" si="2"/>
        <v>10</v>
      </c>
    </row>
    <row r="271" spans="1:15" ht="12.75">
      <c r="A271" s="50" t="str">
        <f ca="1">IFERROR(__xludf.DUMMYFUNCTION("""COMPUTED_VALUE"""),"CD68")</f>
        <v>CD68</v>
      </c>
      <c r="B271" s="77" t="str">
        <f ca="1">IFERROR(__xludf.DUMMYFUNCTION("""COMPUTED_VALUE"""),"06680128")</f>
        <v>06680128</v>
      </c>
      <c r="C271" s="48" t="str">
        <f ca="1">IFERROR(__xludf.DUMMYFUNCTION("""COMPUTED_VALUE"""),"BERGHEIM CSS")</f>
        <v>BERGHEIM CSS</v>
      </c>
      <c r="D271" s="46">
        <f ca="1">IFERROR(__xludf.DUMMYFUNCTION("""COMPUTED_VALUE"""),1)</f>
        <v>1</v>
      </c>
      <c r="E271" s="46">
        <f ca="1">IFERROR(__xludf.DUMMYFUNCTION("""COMPUTED_VALUE"""),0)</f>
        <v>0</v>
      </c>
      <c r="F271" s="46">
        <f ca="1">IFERROR(__xludf.DUMMYFUNCTION("""COMPUTED_VALUE"""),3)</f>
        <v>3</v>
      </c>
      <c r="G271" s="46">
        <f ca="1">IFERROR(__xludf.DUMMYFUNCTION("""COMPUTED_VALUE"""),0)</f>
        <v>0</v>
      </c>
      <c r="H271" s="46">
        <f ca="1">IFERROR(__xludf.DUMMYFUNCTION("""COMPUTED_VALUE"""),0)</f>
        <v>0</v>
      </c>
      <c r="I271" s="46">
        <f ca="1">IFERROR(__xludf.DUMMYFUNCTION("""COMPUTED_VALUE"""),2)</f>
        <v>2</v>
      </c>
      <c r="J271" s="46">
        <f ca="1">IFERROR(__xludf.DUMMYFUNCTION("""COMPUTED_VALUE"""),0)</f>
        <v>0</v>
      </c>
      <c r="K271" s="46">
        <f ca="1">IFERROR(__xludf.DUMMYFUNCTION("""COMPUTED_VALUE"""),0)</f>
        <v>0</v>
      </c>
      <c r="L271" s="46">
        <f ca="1">IFERROR(__xludf.DUMMYFUNCTION("""COMPUTED_VALUE"""),0)</f>
        <v>0</v>
      </c>
      <c r="M271" s="46">
        <f ca="1">IFERROR(__xludf.DUMMYFUNCTION("""COMPUTED_VALUE"""),0)</f>
        <v>0</v>
      </c>
      <c r="N271" s="46">
        <f ca="1">IFERROR(__xludf.DUMMYFUNCTION("""COMPUTED_VALUE"""),0)</f>
        <v>0</v>
      </c>
      <c r="O271" s="50">
        <f t="shared" ca="1" si="2"/>
        <v>6</v>
      </c>
    </row>
    <row r="272" spans="1:15" ht="12.75">
      <c r="A272" s="50" t="str">
        <f ca="1">IFERROR(__xludf.DUMMYFUNCTION("""COMPUTED_VALUE"""),"CD68")</f>
        <v>CD68</v>
      </c>
      <c r="B272" s="77" t="str">
        <f ca="1">IFERROR(__xludf.DUMMYFUNCTION("""COMPUTED_VALUE"""),"06680130")</f>
        <v>06680130</v>
      </c>
      <c r="C272" s="48" t="str">
        <f ca="1">IFERROR(__xludf.DUMMYFUNCTION("""COMPUTED_VALUE"""),"VAL de LIEPVRE ASL")</f>
        <v>VAL de LIEPVRE ASL</v>
      </c>
      <c r="D272" s="46">
        <f ca="1">IFERROR(__xludf.DUMMYFUNCTION("""COMPUTED_VALUE"""),1)</f>
        <v>1</v>
      </c>
      <c r="E272" s="46">
        <f ca="1">IFERROR(__xludf.DUMMYFUNCTION("""COMPUTED_VALUE"""),0)</f>
        <v>0</v>
      </c>
      <c r="F272" s="46">
        <f ca="1">IFERROR(__xludf.DUMMYFUNCTION("""COMPUTED_VALUE"""),4)</f>
        <v>4</v>
      </c>
      <c r="G272" s="46">
        <f ca="1">IFERROR(__xludf.DUMMYFUNCTION("""COMPUTED_VALUE"""),0)</f>
        <v>0</v>
      </c>
      <c r="H272" s="46">
        <f ca="1">IFERROR(__xludf.DUMMYFUNCTION("""COMPUTED_VALUE"""),0)</f>
        <v>0</v>
      </c>
      <c r="I272" s="46">
        <f ca="1">IFERROR(__xludf.DUMMYFUNCTION("""COMPUTED_VALUE"""),4)</f>
        <v>4</v>
      </c>
      <c r="J272" s="46">
        <f ca="1">IFERROR(__xludf.DUMMYFUNCTION("""COMPUTED_VALUE"""),0)</f>
        <v>0</v>
      </c>
      <c r="K272" s="46">
        <f ca="1">IFERROR(__xludf.DUMMYFUNCTION("""COMPUTED_VALUE"""),0)</f>
        <v>0</v>
      </c>
      <c r="L272" s="46">
        <f ca="1">IFERROR(__xludf.DUMMYFUNCTION("""COMPUTED_VALUE"""),0)</f>
        <v>0</v>
      </c>
      <c r="M272" s="46">
        <f ca="1">IFERROR(__xludf.DUMMYFUNCTION("""COMPUTED_VALUE"""),0)</f>
        <v>0</v>
      </c>
      <c r="N272" s="46">
        <f ca="1">IFERROR(__xludf.DUMMYFUNCTION("""COMPUTED_VALUE"""),0)</f>
        <v>0</v>
      </c>
      <c r="O272" s="50">
        <f t="shared" ca="1" si="2"/>
        <v>9</v>
      </c>
    </row>
    <row r="273" spans="1:15" ht="12.75">
      <c r="A273" s="50" t="str">
        <f ca="1">IFERROR(__xludf.DUMMYFUNCTION("""COMPUTED_VALUE"""),"CD68")</f>
        <v>CD68</v>
      </c>
      <c r="B273" s="77" t="str">
        <f ca="1">IFERROR(__xludf.DUMMYFUNCTION("""COMPUTED_VALUE"""),"06680138")</f>
        <v>06680138</v>
      </c>
      <c r="C273" s="48" t="str">
        <f ca="1">IFERROR(__xludf.DUMMYFUNCTION("""COMPUTED_VALUE"""),"SOULTZ CSM TT")</f>
        <v>SOULTZ CSM TT</v>
      </c>
      <c r="D273" s="46">
        <f ca="1">IFERROR(__xludf.DUMMYFUNCTION("""COMPUTED_VALUE"""),0)</f>
        <v>0</v>
      </c>
      <c r="E273" s="46">
        <f ca="1">IFERROR(__xludf.DUMMYFUNCTION("""COMPUTED_VALUE"""),0)</f>
        <v>0</v>
      </c>
      <c r="F273" s="46">
        <f ca="1">IFERROR(__xludf.DUMMYFUNCTION("""COMPUTED_VALUE"""),1)</f>
        <v>1</v>
      </c>
      <c r="G273" s="46">
        <f ca="1">IFERROR(__xludf.DUMMYFUNCTION("""COMPUTED_VALUE"""),0)</f>
        <v>0</v>
      </c>
      <c r="H273" s="46">
        <f ca="1">IFERROR(__xludf.DUMMYFUNCTION("""COMPUTED_VALUE"""),0)</f>
        <v>0</v>
      </c>
      <c r="I273" s="46">
        <f ca="1">IFERROR(__xludf.DUMMYFUNCTION("""COMPUTED_VALUE"""),1)</f>
        <v>1</v>
      </c>
      <c r="J273" s="46">
        <f ca="1">IFERROR(__xludf.DUMMYFUNCTION("""COMPUTED_VALUE"""),0)</f>
        <v>0</v>
      </c>
      <c r="K273" s="46">
        <f ca="1">IFERROR(__xludf.DUMMYFUNCTION("""COMPUTED_VALUE"""),0)</f>
        <v>0</v>
      </c>
      <c r="L273" s="46">
        <f ca="1">IFERROR(__xludf.DUMMYFUNCTION("""COMPUTED_VALUE"""),0)</f>
        <v>0</v>
      </c>
      <c r="M273" s="46">
        <f ca="1">IFERROR(__xludf.DUMMYFUNCTION("""COMPUTED_VALUE"""),0)</f>
        <v>0</v>
      </c>
      <c r="N273" s="46">
        <f ca="1">IFERROR(__xludf.DUMMYFUNCTION("""COMPUTED_VALUE"""),0)</f>
        <v>0</v>
      </c>
      <c r="O273" s="50">
        <f t="shared" ca="1" si="2"/>
        <v>2</v>
      </c>
    </row>
    <row r="274" spans="1:15" ht="12.75">
      <c r="A274" s="50" t="str">
        <f ca="1">IFERROR(__xludf.DUMMYFUNCTION("""COMPUTED_VALUE"""),"CD68")</f>
        <v>CD68</v>
      </c>
      <c r="B274" s="77" t="str">
        <f ca="1">IFERROR(__xludf.DUMMYFUNCTION("""COMPUTED_VALUE"""),"06680140")</f>
        <v>06680140</v>
      </c>
      <c r="C274" s="48" t="str">
        <f ca="1">IFERROR(__xludf.DUMMYFUNCTION("""COMPUTED_VALUE"""),"KEMBS TT")</f>
        <v>KEMBS TT</v>
      </c>
      <c r="D274" s="46">
        <f ca="1">IFERROR(__xludf.DUMMYFUNCTION("""COMPUTED_VALUE"""),1)</f>
        <v>1</v>
      </c>
      <c r="E274" s="46">
        <f ca="1">IFERROR(__xludf.DUMMYFUNCTION("""COMPUTED_VALUE"""),0)</f>
        <v>0</v>
      </c>
      <c r="F274" s="46">
        <f ca="1">IFERROR(__xludf.DUMMYFUNCTION("""COMPUTED_VALUE"""),1)</f>
        <v>1</v>
      </c>
      <c r="G274" s="46">
        <f ca="1">IFERROR(__xludf.DUMMYFUNCTION("""COMPUTED_VALUE"""),0)</f>
        <v>0</v>
      </c>
      <c r="H274" s="46">
        <f ca="1">IFERROR(__xludf.DUMMYFUNCTION("""COMPUTED_VALUE"""),0)</f>
        <v>0</v>
      </c>
      <c r="I274" s="46">
        <f ca="1">IFERROR(__xludf.DUMMYFUNCTION("""COMPUTED_VALUE"""),0)</f>
        <v>0</v>
      </c>
      <c r="J274" s="46">
        <f ca="1">IFERROR(__xludf.DUMMYFUNCTION("""COMPUTED_VALUE"""),1)</f>
        <v>1</v>
      </c>
      <c r="K274" s="46">
        <f ca="1">IFERROR(__xludf.DUMMYFUNCTION("""COMPUTED_VALUE"""),0)</f>
        <v>0</v>
      </c>
      <c r="L274" s="46">
        <f ca="1">IFERROR(__xludf.DUMMYFUNCTION("""COMPUTED_VALUE"""),0)</f>
        <v>0</v>
      </c>
      <c r="M274" s="46">
        <f ca="1">IFERROR(__xludf.DUMMYFUNCTION("""COMPUTED_VALUE"""),0)</f>
        <v>0</v>
      </c>
      <c r="N274" s="46">
        <f ca="1">IFERROR(__xludf.DUMMYFUNCTION("""COMPUTED_VALUE"""),0)</f>
        <v>0</v>
      </c>
      <c r="O274" s="50">
        <f t="shared" ca="1" si="2"/>
        <v>3</v>
      </c>
    </row>
    <row r="275" spans="1:15" ht="12.75">
      <c r="A275" s="50" t="str">
        <f ca="1">IFERROR(__xludf.DUMMYFUNCTION("""COMPUTED_VALUE"""),"CD68")</f>
        <v>CD68</v>
      </c>
      <c r="B275" s="77" t="str">
        <f ca="1">IFERROR(__xludf.DUMMYFUNCTION("""COMPUTED_VALUE"""),"06680143")</f>
        <v>06680143</v>
      </c>
      <c r="C275" s="48" t="str">
        <f ca="1">IFERROR(__xludf.DUMMYFUNCTION("""COMPUTED_VALUE"""),"WILLER SUR THUR TTC")</f>
        <v>WILLER SUR THUR TTC</v>
      </c>
      <c r="D275" s="46">
        <f ca="1">IFERROR(__xludf.DUMMYFUNCTION("""COMPUTED_VALUE"""),0)</f>
        <v>0</v>
      </c>
      <c r="E275" s="46">
        <f ca="1">IFERROR(__xludf.DUMMYFUNCTION("""COMPUTED_VALUE"""),0)</f>
        <v>0</v>
      </c>
      <c r="F275" s="46">
        <f ca="1">IFERROR(__xludf.DUMMYFUNCTION("""COMPUTED_VALUE"""),0)</f>
        <v>0</v>
      </c>
      <c r="G275" s="46">
        <f ca="1">IFERROR(__xludf.DUMMYFUNCTION("""COMPUTED_VALUE"""),0)</f>
        <v>0</v>
      </c>
      <c r="H275" s="46">
        <f ca="1">IFERROR(__xludf.DUMMYFUNCTION("""COMPUTED_VALUE"""),0)</f>
        <v>0</v>
      </c>
      <c r="I275" s="46">
        <f ca="1">IFERROR(__xludf.DUMMYFUNCTION("""COMPUTED_VALUE"""),0)</f>
        <v>0</v>
      </c>
      <c r="J275" s="46">
        <f ca="1">IFERROR(__xludf.DUMMYFUNCTION("""COMPUTED_VALUE"""),0)</f>
        <v>0</v>
      </c>
      <c r="K275" s="46">
        <f ca="1">IFERROR(__xludf.DUMMYFUNCTION("""COMPUTED_VALUE"""),0)</f>
        <v>0</v>
      </c>
      <c r="L275" s="46">
        <f ca="1">IFERROR(__xludf.DUMMYFUNCTION("""COMPUTED_VALUE"""),0)</f>
        <v>0</v>
      </c>
      <c r="M275" s="46">
        <f ca="1">IFERROR(__xludf.DUMMYFUNCTION("""COMPUTED_VALUE"""),0)</f>
        <v>0</v>
      </c>
      <c r="N275" s="46">
        <f ca="1">IFERROR(__xludf.DUMMYFUNCTION("""COMPUTED_VALUE"""),0)</f>
        <v>0</v>
      </c>
      <c r="O275" s="50">
        <f t="shared" ca="1" si="2"/>
        <v>0</v>
      </c>
    </row>
    <row r="276" spans="1:15" ht="12.75">
      <c r="A276" s="50" t="str">
        <f ca="1">IFERROR(__xludf.DUMMYFUNCTION("""COMPUTED_VALUE"""),"CD88")</f>
        <v>CD88</v>
      </c>
      <c r="B276" s="77" t="str">
        <f ca="1">IFERROR(__xludf.DUMMYFUNCTION("""COMPUTED_VALUE"""),"06880002")</f>
        <v>06880002</v>
      </c>
      <c r="C276" s="48" t="str">
        <f ca="1">IFERROR(__xludf.DUMMYFUNCTION("""COMPUTED_VALUE"""),"ANOULD Cercle Pongiste")</f>
        <v>ANOULD Cercle Pongiste</v>
      </c>
      <c r="D276" s="46">
        <f ca="1">IFERROR(__xludf.DUMMYFUNCTION("""COMPUTED_VALUE"""),5)</f>
        <v>5</v>
      </c>
      <c r="E276" s="46">
        <f ca="1">IFERROR(__xludf.DUMMYFUNCTION("""COMPUTED_VALUE"""),0)</f>
        <v>0</v>
      </c>
      <c r="F276" s="46">
        <f ca="1">IFERROR(__xludf.DUMMYFUNCTION("""COMPUTED_VALUE"""),8)</f>
        <v>8</v>
      </c>
      <c r="G276" s="46">
        <f ca="1">IFERROR(__xludf.DUMMYFUNCTION("""COMPUTED_VALUE"""),1)</f>
        <v>1</v>
      </c>
      <c r="H276" s="46">
        <f ca="1">IFERROR(__xludf.DUMMYFUNCTION("""COMPUTED_VALUE"""),0)</f>
        <v>0</v>
      </c>
      <c r="I276" s="46">
        <f ca="1">IFERROR(__xludf.DUMMYFUNCTION("""COMPUTED_VALUE"""),5)</f>
        <v>5</v>
      </c>
      <c r="J276" s="46">
        <f ca="1">IFERROR(__xludf.DUMMYFUNCTION("""COMPUTED_VALUE"""),2)</f>
        <v>2</v>
      </c>
      <c r="K276" s="46">
        <f ca="1">IFERROR(__xludf.DUMMYFUNCTION("""COMPUTED_VALUE"""),0)</f>
        <v>0</v>
      </c>
      <c r="L276" s="46">
        <f ca="1">IFERROR(__xludf.DUMMYFUNCTION("""COMPUTED_VALUE"""),0)</f>
        <v>0</v>
      </c>
      <c r="M276" s="46">
        <f ca="1">IFERROR(__xludf.DUMMYFUNCTION("""COMPUTED_VALUE"""),0)</f>
        <v>0</v>
      </c>
      <c r="N276" s="46">
        <f ca="1">IFERROR(__xludf.DUMMYFUNCTION("""COMPUTED_VALUE"""),0)</f>
        <v>0</v>
      </c>
      <c r="O276" s="50">
        <f t="shared" ca="1" si="2"/>
        <v>21</v>
      </c>
    </row>
    <row r="277" spans="1:15" ht="12.75">
      <c r="A277" s="50" t="str">
        <f ca="1">IFERROR(__xludf.DUMMYFUNCTION("""COMPUTED_VALUE"""),"CD88")</f>
        <v>CD88</v>
      </c>
      <c r="B277" s="77" t="str">
        <f ca="1">IFERROR(__xludf.DUMMYFUNCTION("""COMPUTED_VALUE"""),"06880007")</f>
        <v>06880007</v>
      </c>
      <c r="C277" s="48" t="str">
        <f ca="1">IFERROR(__xludf.DUMMYFUNCTION("""COMPUTED_VALUE"""),"NEUFCHATEAU T.T.")</f>
        <v>NEUFCHATEAU T.T.</v>
      </c>
      <c r="D277" s="46">
        <f ca="1">IFERROR(__xludf.DUMMYFUNCTION("""COMPUTED_VALUE"""),1)</f>
        <v>1</v>
      </c>
      <c r="E277" s="46">
        <f ca="1">IFERROR(__xludf.DUMMYFUNCTION("""COMPUTED_VALUE"""),0)</f>
        <v>0</v>
      </c>
      <c r="F277" s="46">
        <f ca="1">IFERROR(__xludf.DUMMYFUNCTION("""COMPUTED_VALUE"""),1)</f>
        <v>1</v>
      </c>
      <c r="G277" s="46">
        <f ca="1">IFERROR(__xludf.DUMMYFUNCTION("""COMPUTED_VALUE"""),0)</f>
        <v>0</v>
      </c>
      <c r="H277" s="46">
        <f ca="1">IFERROR(__xludf.DUMMYFUNCTION("""COMPUTED_VALUE"""),0)</f>
        <v>0</v>
      </c>
      <c r="I277" s="46">
        <f ca="1">IFERROR(__xludf.DUMMYFUNCTION("""COMPUTED_VALUE"""),1)</f>
        <v>1</v>
      </c>
      <c r="J277" s="46">
        <f ca="1">IFERROR(__xludf.DUMMYFUNCTION("""COMPUTED_VALUE"""),0)</f>
        <v>0</v>
      </c>
      <c r="K277" s="46">
        <f ca="1">IFERROR(__xludf.DUMMYFUNCTION("""COMPUTED_VALUE"""),0)</f>
        <v>0</v>
      </c>
      <c r="L277" s="46">
        <f ca="1">IFERROR(__xludf.DUMMYFUNCTION("""COMPUTED_VALUE"""),0)</f>
        <v>0</v>
      </c>
      <c r="M277" s="46">
        <f ca="1">IFERROR(__xludf.DUMMYFUNCTION("""COMPUTED_VALUE"""),0)</f>
        <v>0</v>
      </c>
      <c r="N277" s="46">
        <f ca="1">IFERROR(__xludf.DUMMYFUNCTION("""COMPUTED_VALUE"""),0)</f>
        <v>0</v>
      </c>
      <c r="O277" s="50">
        <f t="shared" ca="1" si="2"/>
        <v>3</v>
      </c>
    </row>
    <row r="278" spans="1:15" ht="12.75">
      <c r="A278" s="50" t="str">
        <f ca="1">IFERROR(__xludf.DUMMYFUNCTION("""COMPUTED_VALUE"""),"CD88")</f>
        <v>CD88</v>
      </c>
      <c r="B278" s="77" t="str">
        <f ca="1">IFERROR(__xludf.DUMMYFUNCTION("""COMPUTED_VALUE"""),"06880010")</f>
        <v>06880010</v>
      </c>
      <c r="C278" s="48" t="str">
        <f ca="1">IFERROR(__xludf.DUMMYFUNCTION("""COMPUTED_VALUE"""),"SAINT DIE SRDTT")</f>
        <v>SAINT DIE SRDTT</v>
      </c>
      <c r="D278" s="46">
        <f ca="1">IFERROR(__xludf.DUMMYFUNCTION("""COMPUTED_VALUE"""),11)</f>
        <v>11</v>
      </c>
      <c r="E278" s="46">
        <f ca="1">IFERROR(__xludf.DUMMYFUNCTION("""COMPUTED_VALUE"""),0)</f>
        <v>0</v>
      </c>
      <c r="F278" s="46">
        <f ca="1">IFERROR(__xludf.DUMMYFUNCTION("""COMPUTED_VALUE"""),4)</f>
        <v>4</v>
      </c>
      <c r="G278" s="46">
        <f ca="1">IFERROR(__xludf.DUMMYFUNCTION("""COMPUTED_VALUE"""),0)</f>
        <v>0</v>
      </c>
      <c r="H278" s="46">
        <f ca="1">IFERROR(__xludf.DUMMYFUNCTION("""COMPUTED_VALUE"""),0)</f>
        <v>0</v>
      </c>
      <c r="I278" s="46">
        <f ca="1">IFERROR(__xludf.DUMMYFUNCTION("""COMPUTED_VALUE"""),2)</f>
        <v>2</v>
      </c>
      <c r="J278" s="46">
        <f ca="1">IFERROR(__xludf.DUMMYFUNCTION("""COMPUTED_VALUE"""),1)</f>
        <v>1</v>
      </c>
      <c r="K278" s="46">
        <f ca="1">IFERROR(__xludf.DUMMYFUNCTION("""COMPUTED_VALUE"""),1)</f>
        <v>1</v>
      </c>
      <c r="L278" s="46">
        <f ca="1">IFERROR(__xludf.DUMMYFUNCTION("""COMPUTED_VALUE"""),0)</f>
        <v>0</v>
      </c>
      <c r="M278" s="46">
        <f ca="1">IFERROR(__xludf.DUMMYFUNCTION("""COMPUTED_VALUE"""),0)</f>
        <v>0</v>
      </c>
      <c r="N278" s="46">
        <f ca="1">IFERROR(__xludf.DUMMYFUNCTION("""COMPUTED_VALUE"""),0)</f>
        <v>0</v>
      </c>
      <c r="O278" s="50">
        <f t="shared" ca="1" si="2"/>
        <v>19</v>
      </c>
    </row>
    <row r="279" spans="1:15" ht="12.75">
      <c r="A279" s="50" t="str">
        <f ca="1">IFERROR(__xludf.DUMMYFUNCTION("""COMPUTED_VALUE"""),"CD88")</f>
        <v>CD88</v>
      </c>
      <c r="B279" s="77" t="str">
        <f ca="1">IFERROR(__xludf.DUMMYFUNCTION("""COMPUTED_VALUE"""),"06880017")</f>
        <v>06880017</v>
      </c>
      <c r="C279" s="48" t="str">
        <f ca="1">IFERROR(__xludf.DUMMYFUNCTION("""COMPUTED_VALUE"""),"UZEMAIN")</f>
        <v>UZEMAIN</v>
      </c>
      <c r="D279" s="46">
        <f ca="1">IFERROR(__xludf.DUMMYFUNCTION("""COMPUTED_VALUE"""),0)</f>
        <v>0</v>
      </c>
      <c r="E279" s="46">
        <f ca="1">IFERROR(__xludf.DUMMYFUNCTION("""COMPUTED_VALUE"""),0)</f>
        <v>0</v>
      </c>
      <c r="F279" s="46">
        <f ca="1">IFERROR(__xludf.DUMMYFUNCTION("""COMPUTED_VALUE"""),1)</f>
        <v>1</v>
      </c>
      <c r="G279" s="46">
        <f ca="1">IFERROR(__xludf.DUMMYFUNCTION("""COMPUTED_VALUE"""),0)</f>
        <v>0</v>
      </c>
      <c r="H279" s="46">
        <f ca="1">IFERROR(__xludf.DUMMYFUNCTION("""COMPUTED_VALUE"""),0)</f>
        <v>0</v>
      </c>
      <c r="I279" s="46">
        <f ca="1">IFERROR(__xludf.DUMMYFUNCTION("""COMPUTED_VALUE"""),1)</f>
        <v>1</v>
      </c>
      <c r="J279" s="46">
        <f ca="1">IFERROR(__xludf.DUMMYFUNCTION("""COMPUTED_VALUE"""),0)</f>
        <v>0</v>
      </c>
      <c r="K279" s="46">
        <f ca="1">IFERROR(__xludf.DUMMYFUNCTION("""COMPUTED_VALUE"""),0)</f>
        <v>0</v>
      </c>
      <c r="L279" s="46">
        <f ca="1">IFERROR(__xludf.DUMMYFUNCTION("""COMPUTED_VALUE"""),0)</f>
        <v>0</v>
      </c>
      <c r="M279" s="46">
        <f ca="1">IFERROR(__xludf.DUMMYFUNCTION("""COMPUTED_VALUE"""),0)</f>
        <v>0</v>
      </c>
      <c r="N279" s="46">
        <f ca="1">IFERROR(__xludf.DUMMYFUNCTION("""COMPUTED_VALUE"""),0)</f>
        <v>0</v>
      </c>
      <c r="O279" s="50">
        <f t="shared" ca="1" si="2"/>
        <v>2</v>
      </c>
    </row>
    <row r="280" spans="1:15" ht="12.75">
      <c r="A280" s="50" t="str">
        <f ca="1">IFERROR(__xludf.DUMMYFUNCTION("""COMPUTED_VALUE"""),"CD88")</f>
        <v>CD88</v>
      </c>
      <c r="B280" s="77" t="str">
        <f ca="1">IFERROR(__xludf.DUMMYFUNCTION("""COMPUTED_VALUE"""),"06880018")</f>
        <v>06880018</v>
      </c>
      <c r="C280" s="48" t="str">
        <f ca="1">IFERROR(__xludf.DUMMYFUNCTION("""COMPUTED_VALUE"""),"LA HOUSSIERE-VANEMONT ASTT")</f>
        <v>LA HOUSSIERE-VANEMONT ASTT</v>
      </c>
      <c r="D280" s="46">
        <f ca="1">IFERROR(__xludf.DUMMYFUNCTION("""COMPUTED_VALUE"""),0)</f>
        <v>0</v>
      </c>
      <c r="E280" s="46">
        <f ca="1">IFERROR(__xludf.DUMMYFUNCTION("""COMPUTED_VALUE"""),0)</f>
        <v>0</v>
      </c>
      <c r="F280" s="46">
        <f ca="1">IFERROR(__xludf.DUMMYFUNCTION("""COMPUTED_VALUE"""),0)</f>
        <v>0</v>
      </c>
      <c r="G280" s="46">
        <f ca="1">IFERROR(__xludf.DUMMYFUNCTION("""COMPUTED_VALUE"""),0)</f>
        <v>0</v>
      </c>
      <c r="H280" s="46">
        <f ca="1">IFERROR(__xludf.DUMMYFUNCTION("""COMPUTED_VALUE"""),0)</f>
        <v>0</v>
      </c>
      <c r="I280" s="46">
        <f ca="1">IFERROR(__xludf.DUMMYFUNCTION("""COMPUTED_VALUE"""),0)</f>
        <v>0</v>
      </c>
      <c r="J280" s="46">
        <f ca="1">IFERROR(__xludf.DUMMYFUNCTION("""COMPUTED_VALUE"""),0)</f>
        <v>0</v>
      </c>
      <c r="K280" s="46">
        <f ca="1">IFERROR(__xludf.DUMMYFUNCTION("""COMPUTED_VALUE"""),0)</f>
        <v>0</v>
      </c>
      <c r="L280" s="46">
        <f ca="1">IFERROR(__xludf.DUMMYFUNCTION("""COMPUTED_VALUE"""),0)</f>
        <v>0</v>
      </c>
      <c r="M280" s="46">
        <f ca="1">IFERROR(__xludf.DUMMYFUNCTION("""COMPUTED_VALUE"""),0)</f>
        <v>0</v>
      </c>
      <c r="N280" s="46">
        <f ca="1">IFERROR(__xludf.DUMMYFUNCTION("""COMPUTED_VALUE"""),0)</f>
        <v>0</v>
      </c>
      <c r="O280" s="50">
        <f t="shared" ca="1" si="2"/>
        <v>0</v>
      </c>
    </row>
    <row r="281" spans="1:15" ht="12.75">
      <c r="A281" s="50" t="str">
        <f ca="1">IFERROR(__xludf.DUMMYFUNCTION("""COMPUTED_VALUE"""),"CD88")</f>
        <v>CD88</v>
      </c>
      <c r="B281" s="77" t="str">
        <f ca="1">IFERROR(__xludf.DUMMYFUNCTION("""COMPUTED_VALUE"""),"06880021")</f>
        <v>06880021</v>
      </c>
      <c r="C281" s="48" t="str">
        <f ca="1">IFERROR(__xludf.DUMMYFUNCTION("""COMPUTED_VALUE"""),"BAINS LES BAINS AM.PONG.")</f>
        <v>BAINS LES BAINS AM.PONG.</v>
      </c>
      <c r="D281" s="46">
        <f ca="1">IFERROR(__xludf.DUMMYFUNCTION("""COMPUTED_VALUE"""),0)</f>
        <v>0</v>
      </c>
      <c r="E281" s="46">
        <f ca="1">IFERROR(__xludf.DUMMYFUNCTION("""COMPUTED_VALUE"""),0)</f>
        <v>0</v>
      </c>
      <c r="F281" s="46">
        <f ca="1">IFERROR(__xludf.DUMMYFUNCTION("""COMPUTED_VALUE"""),2)</f>
        <v>2</v>
      </c>
      <c r="G281" s="46">
        <f ca="1">IFERROR(__xludf.DUMMYFUNCTION("""COMPUTED_VALUE"""),0)</f>
        <v>0</v>
      </c>
      <c r="H281" s="46">
        <f ca="1">IFERROR(__xludf.DUMMYFUNCTION("""COMPUTED_VALUE"""),0)</f>
        <v>0</v>
      </c>
      <c r="I281" s="46">
        <f ca="1">IFERROR(__xludf.DUMMYFUNCTION("""COMPUTED_VALUE"""),1)</f>
        <v>1</v>
      </c>
      <c r="J281" s="46">
        <f ca="1">IFERROR(__xludf.DUMMYFUNCTION("""COMPUTED_VALUE"""),0)</f>
        <v>0</v>
      </c>
      <c r="K281" s="46">
        <f ca="1">IFERROR(__xludf.DUMMYFUNCTION("""COMPUTED_VALUE"""),1)</f>
        <v>1</v>
      </c>
      <c r="L281" s="46">
        <f ca="1">IFERROR(__xludf.DUMMYFUNCTION("""COMPUTED_VALUE"""),0)</f>
        <v>0</v>
      </c>
      <c r="M281" s="46">
        <f ca="1">IFERROR(__xludf.DUMMYFUNCTION("""COMPUTED_VALUE"""),0)</f>
        <v>0</v>
      </c>
      <c r="N281" s="46">
        <f ca="1">IFERROR(__xludf.DUMMYFUNCTION("""COMPUTED_VALUE"""),0)</f>
        <v>0</v>
      </c>
      <c r="O281" s="50">
        <f t="shared" ca="1" si="2"/>
        <v>4</v>
      </c>
    </row>
    <row r="282" spans="1:15" ht="12.75">
      <c r="A282" s="50" t="str">
        <f ca="1">IFERROR(__xludf.DUMMYFUNCTION("""COMPUTED_VALUE"""),"CD88")</f>
        <v>CD88</v>
      </c>
      <c r="B282" s="77" t="str">
        <f ca="1">IFERROR(__xludf.DUMMYFUNCTION("""COMPUTED_VALUE"""),"06880022")</f>
        <v>06880022</v>
      </c>
      <c r="C282" s="48" t="str">
        <f ca="1">IFERROR(__xludf.DUMMYFUNCTION("""COMPUTED_VALUE"""),"VITTEL SAINT REMY TT")</f>
        <v>VITTEL SAINT REMY TT</v>
      </c>
      <c r="D282" s="46">
        <f ca="1">IFERROR(__xludf.DUMMYFUNCTION("""COMPUTED_VALUE"""),2)</f>
        <v>2</v>
      </c>
      <c r="E282" s="46">
        <f ca="1">IFERROR(__xludf.DUMMYFUNCTION("""COMPUTED_VALUE"""),0)</f>
        <v>0</v>
      </c>
      <c r="F282" s="46">
        <f ca="1">IFERROR(__xludf.DUMMYFUNCTION("""COMPUTED_VALUE"""),8)</f>
        <v>8</v>
      </c>
      <c r="G282" s="46">
        <f ca="1">IFERROR(__xludf.DUMMYFUNCTION("""COMPUTED_VALUE"""),0)</f>
        <v>0</v>
      </c>
      <c r="H282" s="46">
        <f ca="1">IFERROR(__xludf.DUMMYFUNCTION("""COMPUTED_VALUE"""),0)</f>
        <v>0</v>
      </c>
      <c r="I282" s="46">
        <f ca="1">IFERROR(__xludf.DUMMYFUNCTION("""COMPUTED_VALUE"""),7)</f>
        <v>7</v>
      </c>
      <c r="J282" s="46">
        <f ca="1">IFERROR(__xludf.DUMMYFUNCTION("""COMPUTED_VALUE"""),0)</f>
        <v>0</v>
      </c>
      <c r="K282" s="46">
        <f ca="1">IFERROR(__xludf.DUMMYFUNCTION("""COMPUTED_VALUE"""),0)</f>
        <v>0</v>
      </c>
      <c r="L282" s="46">
        <f ca="1">IFERROR(__xludf.DUMMYFUNCTION("""COMPUTED_VALUE"""),0)</f>
        <v>0</v>
      </c>
      <c r="M282" s="46">
        <f ca="1">IFERROR(__xludf.DUMMYFUNCTION("""COMPUTED_VALUE"""),0)</f>
        <v>0</v>
      </c>
      <c r="N282" s="46">
        <f ca="1">IFERROR(__xludf.DUMMYFUNCTION("""COMPUTED_VALUE"""),0)</f>
        <v>0</v>
      </c>
      <c r="O282" s="50">
        <f t="shared" ca="1" si="2"/>
        <v>17</v>
      </c>
    </row>
    <row r="283" spans="1:15" ht="12.75">
      <c r="A283" s="50" t="str">
        <f ca="1">IFERROR(__xludf.DUMMYFUNCTION("""COMPUTED_VALUE"""),"CD88")</f>
        <v>CD88</v>
      </c>
      <c r="B283" s="77" t="str">
        <f ca="1">IFERROR(__xludf.DUMMYFUNCTION("""COMPUTED_VALUE"""),"06880049")</f>
        <v>06880049</v>
      </c>
      <c r="C283" s="48" t="str">
        <f ca="1">IFERROR(__xludf.DUMMYFUNCTION("""COMPUTED_VALUE"""),"MIRECOURT Lift Club")</f>
        <v>MIRECOURT Lift Club</v>
      </c>
      <c r="D283" s="46">
        <f ca="1">IFERROR(__xludf.DUMMYFUNCTION("""COMPUTED_VALUE"""),1)</f>
        <v>1</v>
      </c>
      <c r="E283" s="46">
        <f ca="1">IFERROR(__xludf.DUMMYFUNCTION("""COMPUTED_VALUE"""),0)</f>
        <v>0</v>
      </c>
      <c r="F283" s="46">
        <f ca="1">IFERROR(__xludf.DUMMYFUNCTION("""COMPUTED_VALUE"""),2)</f>
        <v>2</v>
      </c>
      <c r="G283" s="46">
        <f ca="1">IFERROR(__xludf.DUMMYFUNCTION("""COMPUTED_VALUE"""),0)</f>
        <v>0</v>
      </c>
      <c r="H283" s="46">
        <f ca="1">IFERROR(__xludf.DUMMYFUNCTION("""COMPUTED_VALUE"""),0)</f>
        <v>0</v>
      </c>
      <c r="I283" s="46">
        <f ca="1">IFERROR(__xludf.DUMMYFUNCTION("""COMPUTED_VALUE"""),2)</f>
        <v>2</v>
      </c>
      <c r="J283" s="46">
        <f ca="1">IFERROR(__xludf.DUMMYFUNCTION("""COMPUTED_VALUE"""),0)</f>
        <v>0</v>
      </c>
      <c r="K283" s="46">
        <f ca="1">IFERROR(__xludf.DUMMYFUNCTION("""COMPUTED_VALUE"""),0)</f>
        <v>0</v>
      </c>
      <c r="L283" s="46">
        <f ca="1">IFERROR(__xludf.DUMMYFUNCTION("""COMPUTED_VALUE"""),0)</f>
        <v>0</v>
      </c>
      <c r="M283" s="46">
        <f ca="1">IFERROR(__xludf.DUMMYFUNCTION("""COMPUTED_VALUE"""),0)</f>
        <v>0</v>
      </c>
      <c r="N283" s="46">
        <f ca="1">IFERROR(__xludf.DUMMYFUNCTION("""COMPUTED_VALUE"""),0)</f>
        <v>0</v>
      </c>
      <c r="O283" s="50">
        <f t="shared" ca="1" si="2"/>
        <v>5</v>
      </c>
    </row>
    <row r="284" spans="1:15" ht="12.75">
      <c r="A284" s="50" t="str">
        <f ca="1">IFERROR(__xludf.DUMMYFUNCTION("""COMPUTED_VALUE"""),"CD88")</f>
        <v>CD88</v>
      </c>
      <c r="B284" s="77" t="str">
        <f ca="1">IFERROR(__xludf.DUMMYFUNCTION("""COMPUTED_VALUE"""),"06880050")</f>
        <v>06880050</v>
      </c>
      <c r="C284" s="48" t="str">
        <f ca="1">IFERROR(__xludf.DUMMYFUNCTION("""COMPUTED_VALUE"""),"VAGNEY A.T.T.")</f>
        <v>VAGNEY A.T.T.</v>
      </c>
      <c r="D284" s="46">
        <f ca="1">IFERROR(__xludf.DUMMYFUNCTION("""COMPUTED_VALUE"""),0)</f>
        <v>0</v>
      </c>
      <c r="E284" s="46">
        <f ca="1">IFERROR(__xludf.DUMMYFUNCTION("""COMPUTED_VALUE"""),0)</f>
        <v>0</v>
      </c>
      <c r="F284" s="46">
        <f ca="1">IFERROR(__xludf.DUMMYFUNCTION("""COMPUTED_VALUE"""),1)</f>
        <v>1</v>
      </c>
      <c r="G284" s="46">
        <f ca="1">IFERROR(__xludf.DUMMYFUNCTION("""COMPUTED_VALUE"""),0)</f>
        <v>0</v>
      </c>
      <c r="H284" s="46">
        <f ca="1">IFERROR(__xludf.DUMMYFUNCTION("""COMPUTED_VALUE"""),0)</f>
        <v>0</v>
      </c>
      <c r="I284" s="46">
        <f ca="1">IFERROR(__xludf.DUMMYFUNCTION("""COMPUTED_VALUE"""),0)</f>
        <v>0</v>
      </c>
      <c r="J284" s="46">
        <f ca="1">IFERROR(__xludf.DUMMYFUNCTION("""COMPUTED_VALUE"""),1)</f>
        <v>1</v>
      </c>
      <c r="K284" s="46">
        <f ca="1">IFERROR(__xludf.DUMMYFUNCTION("""COMPUTED_VALUE"""),0)</f>
        <v>0</v>
      </c>
      <c r="L284" s="46">
        <f ca="1">IFERROR(__xludf.DUMMYFUNCTION("""COMPUTED_VALUE"""),0)</f>
        <v>0</v>
      </c>
      <c r="M284" s="46">
        <f ca="1">IFERROR(__xludf.DUMMYFUNCTION("""COMPUTED_VALUE"""),0)</f>
        <v>0</v>
      </c>
      <c r="N284" s="46">
        <f ca="1">IFERROR(__xludf.DUMMYFUNCTION("""COMPUTED_VALUE"""),0)</f>
        <v>0</v>
      </c>
      <c r="O284" s="50">
        <f t="shared" ca="1" si="2"/>
        <v>2</v>
      </c>
    </row>
    <row r="285" spans="1:15" ht="12.75">
      <c r="A285" s="50" t="str">
        <f ca="1">IFERROR(__xludf.DUMMYFUNCTION("""COMPUTED_VALUE"""),"CD88")</f>
        <v>CD88</v>
      </c>
      <c r="B285" s="77" t="str">
        <f ca="1">IFERROR(__xludf.DUMMYFUNCTION("""COMPUTED_VALUE"""),"06880051")</f>
        <v>06880051</v>
      </c>
      <c r="C285" s="48" t="str">
        <f ca="1">IFERROR(__xludf.DUMMYFUNCTION("""COMPUTED_VALUE"""),"Raquette Golbéenne")</f>
        <v>Raquette Golbéenne</v>
      </c>
      <c r="D285" s="46">
        <f ca="1">IFERROR(__xludf.DUMMYFUNCTION("""COMPUTED_VALUE"""),0)</f>
        <v>0</v>
      </c>
      <c r="E285" s="46">
        <f ca="1">IFERROR(__xludf.DUMMYFUNCTION("""COMPUTED_VALUE"""),0)</f>
        <v>0</v>
      </c>
      <c r="F285" s="46">
        <f ca="1">IFERROR(__xludf.DUMMYFUNCTION("""COMPUTED_VALUE"""),7)</f>
        <v>7</v>
      </c>
      <c r="G285" s="46">
        <f ca="1">IFERROR(__xludf.DUMMYFUNCTION("""COMPUTED_VALUE"""),0)</f>
        <v>0</v>
      </c>
      <c r="H285" s="46">
        <f ca="1">IFERROR(__xludf.DUMMYFUNCTION("""COMPUTED_VALUE"""),0)</f>
        <v>0</v>
      </c>
      <c r="I285" s="46">
        <f ca="1">IFERROR(__xludf.DUMMYFUNCTION("""COMPUTED_VALUE"""),5)</f>
        <v>5</v>
      </c>
      <c r="J285" s="46">
        <f ca="1">IFERROR(__xludf.DUMMYFUNCTION("""COMPUTED_VALUE"""),2)</f>
        <v>2</v>
      </c>
      <c r="K285" s="46">
        <f ca="1">IFERROR(__xludf.DUMMYFUNCTION("""COMPUTED_VALUE"""),0)</f>
        <v>0</v>
      </c>
      <c r="L285" s="46">
        <f ca="1">IFERROR(__xludf.DUMMYFUNCTION("""COMPUTED_VALUE"""),0)</f>
        <v>0</v>
      </c>
      <c r="M285" s="46">
        <f ca="1">IFERROR(__xludf.DUMMYFUNCTION("""COMPUTED_VALUE"""),0)</f>
        <v>0</v>
      </c>
      <c r="N285" s="46">
        <f ca="1">IFERROR(__xludf.DUMMYFUNCTION("""COMPUTED_VALUE"""),0)</f>
        <v>0</v>
      </c>
      <c r="O285" s="50">
        <f t="shared" ca="1" si="2"/>
        <v>14</v>
      </c>
    </row>
    <row r="286" spans="1:15" ht="12.75">
      <c r="A286" s="50" t="str">
        <f ca="1">IFERROR(__xludf.DUMMYFUNCTION("""COMPUTED_VALUE"""),"CD88")</f>
        <v>CD88</v>
      </c>
      <c r="B286" s="77" t="str">
        <f ca="1">IFERROR(__xludf.DUMMYFUNCTION("""COMPUTED_VALUE"""),"06880060")</f>
        <v>06880060</v>
      </c>
      <c r="C286" s="48" t="str">
        <f ca="1">IFERROR(__xludf.DUMMYFUNCTION("""COMPUTED_VALUE"""),"LA BRESSE T.T.")</f>
        <v>LA BRESSE T.T.</v>
      </c>
      <c r="D286" s="46">
        <f ca="1">IFERROR(__xludf.DUMMYFUNCTION("""COMPUTED_VALUE"""),0)</f>
        <v>0</v>
      </c>
      <c r="E286" s="46">
        <f ca="1">IFERROR(__xludf.DUMMYFUNCTION("""COMPUTED_VALUE"""),0)</f>
        <v>0</v>
      </c>
      <c r="F286" s="46">
        <f ca="1">IFERROR(__xludf.DUMMYFUNCTION("""COMPUTED_VALUE"""),1)</f>
        <v>1</v>
      </c>
      <c r="G286" s="46">
        <f ca="1">IFERROR(__xludf.DUMMYFUNCTION("""COMPUTED_VALUE"""),0)</f>
        <v>0</v>
      </c>
      <c r="H286" s="46">
        <f ca="1">IFERROR(__xludf.DUMMYFUNCTION("""COMPUTED_VALUE"""),0)</f>
        <v>0</v>
      </c>
      <c r="I286" s="46">
        <f ca="1">IFERROR(__xludf.DUMMYFUNCTION("""COMPUTED_VALUE"""),1)</f>
        <v>1</v>
      </c>
      <c r="J286" s="46">
        <f ca="1">IFERROR(__xludf.DUMMYFUNCTION("""COMPUTED_VALUE"""),0)</f>
        <v>0</v>
      </c>
      <c r="K286" s="46">
        <f ca="1">IFERROR(__xludf.DUMMYFUNCTION("""COMPUTED_VALUE"""),0)</f>
        <v>0</v>
      </c>
      <c r="L286" s="46">
        <f ca="1">IFERROR(__xludf.DUMMYFUNCTION("""COMPUTED_VALUE"""),0)</f>
        <v>0</v>
      </c>
      <c r="M286" s="46">
        <f ca="1">IFERROR(__xludf.DUMMYFUNCTION("""COMPUTED_VALUE"""),0)</f>
        <v>0</v>
      </c>
      <c r="N286" s="46">
        <f ca="1">IFERROR(__xludf.DUMMYFUNCTION("""COMPUTED_VALUE"""),0)</f>
        <v>0</v>
      </c>
      <c r="O286" s="50">
        <f t="shared" ca="1" si="2"/>
        <v>2</v>
      </c>
    </row>
    <row r="287" spans="1:15" ht="12.75">
      <c r="A287" s="50" t="str">
        <f ca="1">IFERROR(__xludf.DUMMYFUNCTION("""COMPUTED_VALUE"""),"CD88")</f>
        <v>CD88</v>
      </c>
      <c r="B287" s="77" t="str">
        <f ca="1">IFERROR(__xludf.DUMMYFUNCTION("""COMPUTED_VALUE"""),"06880064")</f>
        <v>06880064</v>
      </c>
      <c r="C287" s="48" t="str">
        <f ca="1">IFERROR(__xludf.DUMMYFUNCTION("""COMPUTED_VALUE"""),"TT des Ballons des Hautes Vosges")</f>
        <v>TT des Ballons des Hautes Vosges</v>
      </c>
      <c r="D287" s="46">
        <f ca="1">IFERROR(__xludf.DUMMYFUNCTION("""COMPUTED_VALUE"""),0)</f>
        <v>0</v>
      </c>
      <c r="E287" s="46">
        <f ca="1">IFERROR(__xludf.DUMMYFUNCTION("""COMPUTED_VALUE"""),0)</f>
        <v>0</v>
      </c>
      <c r="F287" s="46">
        <f ca="1">IFERROR(__xludf.DUMMYFUNCTION("""COMPUTED_VALUE"""),3)</f>
        <v>3</v>
      </c>
      <c r="G287" s="46">
        <f ca="1">IFERROR(__xludf.DUMMYFUNCTION("""COMPUTED_VALUE"""),0)</f>
        <v>0</v>
      </c>
      <c r="H287" s="46">
        <f ca="1">IFERROR(__xludf.DUMMYFUNCTION("""COMPUTED_VALUE"""),0)</f>
        <v>0</v>
      </c>
      <c r="I287" s="46">
        <f ca="1">IFERROR(__xludf.DUMMYFUNCTION("""COMPUTED_VALUE"""),3)</f>
        <v>3</v>
      </c>
      <c r="J287" s="46">
        <f ca="1">IFERROR(__xludf.DUMMYFUNCTION("""COMPUTED_VALUE"""),0)</f>
        <v>0</v>
      </c>
      <c r="K287" s="46">
        <f ca="1">IFERROR(__xludf.DUMMYFUNCTION("""COMPUTED_VALUE"""),0)</f>
        <v>0</v>
      </c>
      <c r="L287" s="46">
        <f ca="1">IFERROR(__xludf.DUMMYFUNCTION("""COMPUTED_VALUE"""),0)</f>
        <v>0</v>
      </c>
      <c r="M287" s="46">
        <f ca="1">IFERROR(__xludf.DUMMYFUNCTION("""COMPUTED_VALUE"""),0)</f>
        <v>0</v>
      </c>
      <c r="N287" s="46">
        <f ca="1">IFERROR(__xludf.DUMMYFUNCTION("""COMPUTED_VALUE"""),0)</f>
        <v>0</v>
      </c>
      <c r="O287" s="50">
        <f t="shared" ca="1" si="2"/>
        <v>6</v>
      </c>
    </row>
    <row r="288" spans="1:15" ht="12.75">
      <c r="A288" s="50" t="str">
        <f ca="1">IFERROR(__xludf.DUMMYFUNCTION("""COMPUTED_VALUE"""),"CD88")</f>
        <v>CD88</v>
      </c>
      <c r="B288" s="77" t="str">
        <f ca="1">IFERROR(__xludf.DUMMYFUNCTION("""COMPUTED_VALUE"""),"06880066")</f>
        <v>06880066</v>
      </c>
      <c r="C288" s="48" t="str">
        <f ca="1">IFERROR(__xludf.DUMMYFUNCTION("""COMPUTED_VALUE"""),"ELOYES C.L.L.T.T.")</f>
        <v>ELOYES C.L.L.T.T.</v>
      </c>
      <c r="D288" s="46">
        <f ca="1">IFERROR(__xludf.DUMMYFUNCTION("""COMPUTED_VALUE"""),0)</f>
        <v>0</v>
      </c>
      <c r="E288" s="46">
        <f ca="1">IFERROR(__xludf.DUMMYFUNCTION("""COMPUTED_VALUE"""),0)</f>
        <v>0</v>
      </c>
      <c r="F288" s="46">
        <f ca="1">IFERROR(__xludf.DUMMYFUNCTION("""COMPUTED_VALUE"""),6)</f>
        <v>6</v>
      </c>
      <c r="G288" s="46">
        <f ca="1">IFERROR(__xludf.DUMMYFUNCTION("""COMPUTED_VALUE"""),0)</f>
        <v>0</v>
      </c>
      <c r="H288" s="46">
        <f ca="1">IFERROR(__xludf.DUMMYFUNCTION("""COMPUTED_VALUE"""),0)</f>
        <v>0</v>
      </c>
      <c r="I288" s="46">
        <f ca="1">IFERROR(__xludf.DUMMYFUNCTION("""COMPUTED_VALUE"""),4)</f>
        <v>4</v>
      </c>
      <c r="J288" s="46">
        <f ca="1">IFERROR(__xludf.DUMMYFUNCTION("""COMPUTED_VALUE"""),1)</f>
        <v>1</v>
      </c>
      <c r="K288" s="46">
        <f ca="1">IFERROR(__xludf.DUMMYFUNCTION("""COMPUTED_VALUE"""),1)</f>
        <v>1</v>
      </c>
      <c r="L288" s="46">
        <f ca="1">IFERROR(__xludf.DUMMYFUNCTION("""COMPUTED_VALUE"""),0)</f>
        <v>0</v>
      </c>
      <c r="M288" s="46">
        <f ca="1">IFERROR(__xludf.DUMMYFUNCTION("""COMPUTED_VALUE"""),0)</f>
        <v>0</v>
      </c>
      <c r="N288" s="46">
        <f ca="1">IFERROR(__xludf.DUMMYFUNCTION("""COMPUTED_VALUE"""),1)</f>
        <v>1</v>
      </c>
      <c r="O288" s="50">
        <f t="shared" ca="1" si="2"/>
        <v>13</v>
      </c>
    </row>
    <row r="289" spans="1:15" ht="12.75">
      <c r="A289" s="50" t="str">
        <f ca="1">IFERROR(__xludf.DUMMYFUNCTION("""COMPUTED_VALUE"""),"CD88")</f>
        <v>CD88</v>
      </c>
      <c r="B289" s="77" t="str">
        <f ca="1">IFERROR(__xludf.DUMMYFUNCTION("""COMPUTED_VALUE"""),"06880071")</f>
        <v>06880071</v>
      </c>
      <c r="C289" s="48" t="str">
        <f ca="1">IFERROR(__xludf.DUMMYFUNCTION("""COMPUTED_VALUE"""),"EPINAL T.S.P.")</f>
        <v>EPINAL T.S.P.</v>
      </c>
      <c r="D289" s="46">
        <f ca="1">IFERROR(__xludf.DUMMYFUNCTION("""COMPUTED_VALUE"""),0)</f>
        <v>0</v>
      </c>
      <c r="E289" s="46">
        <f ca="1">IFERROR(__xludf.DUMMYFUNCTION("""COMPUTED_VALUE"""),0)</f>
        <v>0</v>
      </c>
      <c r="F289" s="46">
        <f ca="1">IFERROR(__xludf.DUMMYFUNCTION("""COMPUTED_VALUE"""),4)</f>
        <v>4</v>
      </c>
      <c r="G289" s="46">
        <f ca="1">IFERROR(__xludf.DUMMYFUNCTION("""COMPUTED_VALUE"""),0)</f>
        <v>0</v>
      </c>
      <c r="H289" s="46">
        <f ca="1">IFERROR(__xludf.DUMMYFUNCTION("""COMPUTED_VALUE"""),0)</f>
        <v>0</v>
      </c>
      <c r="I289" s="46">
        <f ca="1">IFERROR(__xludf.DUMMYFUNCTION("""COMPUTED_VALUE"""),1)</f>
        <v>1</v>
      </c>
      <c r="J289" s="46">
        <f ca="1">IFERROR(__xludf.DUMMYFUNCTION("""COMPUTED_VALUE"""),1)</f>
        <v>1</v>
      </c>
      <c r="K289" s="46">
        <f ca="1">IFERROR(__xludf.DUMMYFUNCTION("""COMPUTED_VALUE"""),0)</f>
        <v>0</v>
      </c>
      <c r="L289" s="46">
        <f ca="1">IFERROR(__xludf.DUMMYFUNCTION("""COMPUTED_VALUE"""),0)</f>
        <v>0</v>
      </c>
      <c r="M289" s="46">
        <f ca="1">IFERROR(__xludf.DUMMYFUNCTION("""COMPUTED_VALUE"""),0)</f>
        <v>0</v>
      </c>
      <c r="N289" s="46">
        <f ca="1">IFERROR(__xludf.DUMMYFUNCTION("""COMPUTED_VALUE"""),0)</f>
        <v>0</v>
      </c>
      <c r="O289" s="50">
        <f t="shared" ca="1" si="2"/>
        <v>6</v>
      </c>
    </row>
    <row r="290" spans="1:15" ht="12.75">
      <c r="A290" s="50" t="str">
        <f ca="1">IFERROR(__xludf.DUMMYFUNCTION("""COMPUTED_VALUE"""),"CD88")</f>
        <v>CD88</v>
      </c>
      <c r="B290" s="77" t="str">
        <f ca="1">IFERROR(__xludf.DUMMYFUNCTION("""COMPUTED_VALUE"""),"06880073")</f>
        <v>06880073</v>
      </c>
      <c r="C290" s="48" t="str">
        <f ca="1">IFERROR(__xludf.DUMMYFUNCTION("""COMPUTED_VALUE"""),"SAINTE MARGUERITE C.T.T.")</f>
        <v>SAINTE MARGUERITE C.T.T.</v>
      </c>
      <c r="D290" s="46">
        <f ca="1">IFERROR(__xludf.DUMMYFUNCTION("""COMPUTED_VALUE"""),0)</f>
        <v>0</v>
      </c>
      <c r="E290" s="46">
        <f ca="1">IFERROR(__xludf.DUMMYFUNCTION("""COMPUTED_VALUE"""),0)</f>
        <v>0</v>
      </c>
      <c r="F290" s="46">
        <f ca="1">IFERROR(__xludf.DUMMYFUNCTION("""COMPUTED_VALUE"""),3)</f>
        <v>3</v>
      </c>
      <c r="G290" s="46">
        <f ca="1">IFERROR(__xludf.DUMMYFUNCTION("""COMPUTED_VALUE"""),0)</f>
        <v>0</v>
      </c>
      <c r="H290" s="46">
        <f ca="1">IFERROR(__xludf.DUMMYFUNCTION("""COMPUTED_VALUE"""),0)</f>
        <v>0</v>
      </c>
      <c r="I290" s="46">
        <f ca="1">IFERROR(__xludf.DUMMYFUNCTION("""COMPUTED_VALUE"""),3)</f>
        <v>3</v>
      </c>
      <c r="J290" s="46">
        <f ca="1">IFERROR(__xludf.DUMMYFUNCTION("""COMPUTED_VALUE"""),0)</f>
        <v>0</v>
      </c>
      <c r="K290" s="46">
        <f ca="1">IFERROR(__xludf.DUMMYFUNCTION("""COMPUTED_VALUE"""),0)</f>
        <v>0</v>
      </c>
      <c r="L290" s="46">
        <f ca="1">IFERROR(__xludf.DUMMYFUNCTION("""COMPUTED_VALUE"""),0)</f>
        <v>0</v>
      </c>
      <c r="M290" s="46">
        <f ca="1">IFERROR(__xludf.DUMMYFUNCTION("""COMPUTED_VALUE"""),0)</f>
        <v>0</v>
      </c>
      <c r="N290" s="46">
        <f ca="1">IFERROR(__xludf.DUMMYFUNCTION("""COMPUTED_VALUE"""),0)</f>
        <v>0</v>
      </c>
      <c r="O290" s="50">
        <f t="shared" ca="1" si="2"/>
        <v>6</v>
      </c>
    </row>
    <row r="291" spans="1:15" ht="12.75">
      <c r="A291" s="50" t="str">
        <f ca="1">IFERROR(__xludf.DUMMYFUNCTION("""COMPUTED_VALUE"""),"CD88")</f>
        <v>CD88</v>
      </c>
      <c r="B291" s="77" t="str">
        <f ca="1">IFERROR(__xludf.DUMMYFUNCTION("""COMPUTED_VALUE"""),"06880083")</f>
        <v>06880083</v>
      </c>
      <c r="C291" s="48" t="str">
        <f ca="1">IFERROR(__xludf.DUMMYFUNCTION("""COMPUTED_VALUE"""),"XONRUPT A.S.C.X.L. T.T.")</f>
        <v>XONRUPT A.S.C.X.L. T.T.</v>
      </c>
      <c r="D291" s="46">
        <f ca="1">IFERROR(__xludf.DUMMYFUNCTION("""COMPUTED_VALUE"""),0)</f>
        <v>0</v>
      </c>
      <c r="E291" s="46">
        <f ca="1">IFERROR(__xludf.DUMMYFUNCTION("""COMPUTED_VALUE"""),0)</f>
        <v>0</v>
      </c>
      <c r="F291" s="46">
        <f ca="1">IFERROR(__xludf.DUMMYFUNCTION("""COMPUTED_VALUE"""),2)</f>
        <v>2</v>
      </c>
      <c r="G291" s="46">
        <f ca="1">IFERROR(__xludf.DUMMYFUNCTION("""COMPUTED_VALUE"""),0)</f>
        <v>0</v>
      </c>
      <c r="H291" s="46">
        <f ca="1">IFERROR(__xludf.DUMMYFUNCTION("""COMPUTED_VALUE"""),0)</f>
        <v>0</v>
      </c>
      <c r="I291" s="46">
        <f ca="1">IFERROR(__xludf.DUMMYFUNCTION("""COMPUTED_VALUE"""),2)</f>
        <v>2</v>
      </c>
      <c r="J291" s="46">
        <f ca="1">IFERROR(__xludf.DUMMYFUNCTION("""COMPUTED_VALUE"""),0)</f>
        <v>0</v>
      </c>
      <c r="K291" s="46">
        <f ca="1">IFERROR(__xludf.DUMMYFUNCTION("""COMPUTED_VALUE"""),0)</f>
        <v>0</v>
      </c>
      <c r="L291" s="46">
        <f ca="1">IFERROR(__xludf.DUMMYFUNCTION("""COMPUTED_VALUE"""),0)</f>
        <v>0</v>
      </c>
      <c r="M291" s="46">
        <f ca="1">IFERROR(__xludf.DUMMYFUNCTION("""COMPUTED_VALUE"""),0)</f>
        <v>0</v>
      </c>
      <c r="N291" s="46">
        <f ca="1">IFERROR(__xludf.DUMMYFUNCTION("""COMPUTED_VALUE"""),0)</f>
        <v>0</v>
      </c>
      <c r="O291" s="50">
        <f t="shared" ca="1" si="2"/>
        <v>4</v>
      </c>
    </row>
    <row r="292" spans="1:15" ht="12.75">
      <c r="A292" s="50" t="str">
        <f ca="1">IFERROR(__xludf.DUMMYFUNCTION("""COMPUTED_VALUE"""),"CD88")</f>
        <v>CD88</v>
      </c>
      <c r="B292" s="77" t="str">
        <f ca="1">IFERROR(__xludf.DUMMYFUNCTION("""COMPUTED_VALUE"""),"06880086")</f>
        <v>06880086</v>
      </c>
      <c r="C292" s="48" t="str">
        <f ca="1">IFERROR(__xludf.DUMMYFUNCTION("""COMPUTED_VALUE"""),"MOYENMOUTIER VRTT")</f>
        <v>MOYENMOUTIER VRTT</v>
      </c>
      <c r="D292" s="46">
        <f ca="1">IFERROR(__xludf.DUMMYFUNCTION("""COMPUTED_VALUE"""),1)</f>
        <v>1</v>
      </c>
      <c r="E292" s="46">
        <f ca="1">IFERROR(__xludf.DUMMYFUNCTION("""COMPUTED_VALUE"""),0)</f>
        <v>0</v>
      </c>
      <c r="F292" s="46">
        <f ca="1">IFERROR(__xludf.DUMMYFUNCTION("""COMPUTED_VALUE"""),2)</f>
        <v>2</v>
      </c>
      <c r="G292" s="46">
        <f ca="1">IFERROR(__xludf.DUMMYFUNCTION("""COMPUTED_VALUE"""),0)</f>
        <v>0</v>
      </c>
      <c r="H292" s="46">
        <f ca="1">IFERROR(__xludf.DUMMYFUNCTION("""COMPUTED_VALUE"""),0)</f>
        <v>0</v>
      </c>
      <c r="I292" s="46">
        <f ca="1">IFERROR(__xludf.DUMMYFUNCTION("""COMPUTED_VALUE"""),2)</f>
        <v>2</v>
      </c>
      <c r="J292" s="46">
        <f ca="1">IFERROR(__xludf.DUMMYFUNCTION("""COMPUTED_VALUE"""),0)</f>
        <v>0</v>
      </c>
      <c r="K292" s="46">
        <f ca="1">IFERROR(__xludf.DUMMYFUNCTION("""COMPUTED_VALUE"""),0)</f>
        <v>0</v>
      </c>
      <c r="L292" s="46">
        <f ca="1">IFERROR(__xludf.DUMMYFUNCTION("""COMPUTED_VALUE"""),0)</f>
        <v>0</v>
      </c>
      <c r="M292" s="46">
        <f ca="1">IFERROR(__xludf.DUMMYFUNCTION("""COMPUTED_VALUE"""),0)</f>
        <v>0</v>
      </c>
      <c r="N292" s="46">
        <f ca="1">IFERROR(__xludf.DUMMYFUNCTION("""COMPUTED_VALUE"""),0)</f>
        <v>0</v>
      </c>
      <c r="O292" s="50">
        <f t="shared" ca="1" si="2"/>
        <v>5</v>
      </c>
    </row>
    <row r="293" spans="1:15" ht="12.75">
      <c r="A293" s="50" t="str">
        <f ca="1">IFERROR(__xludf.DUMMYFUNCTION("""COMPUTED_VALUE"""),"CD88")</f>
        <v>CD88</v>
      </c>
      <c r="B293" s="77" t="str">
        <f ca="1">IFERROR(__xludf.DUMMYFUNCTION("""COMPUTED_VALUE"""),"06880101")</f>
        <v>06880101</v>
      </c>
      <c r="C293" s="48" t="str">
        <f ca="1">IFERROR(__xludf.DUMMYFUNCTION("""COMPUTED_VALUE"""),"DOMFAING-BRUYERES Ent.MJC")</f>
        <v>DOMFAING-BRUYERES Ent.MJC</v>
      </c>
      <c r="D293" s="46">
        <f ca="1">IFERROR(__xludf.DUMMYFUNCTION("""COMPUTED_VALUE"""),0)</f>
        <v>0</v>
      </c>
      <c r="E293" s="46">
        <f ca="1">IFERROR(__xludf.DUMMYFUNCTION("""COMPUTED_VALUE"""),0)</f>
        <v>0</v>
      </c>
      <c r="F293" s="46">
        <f ca="1">IFERROR(__xludf.DUMMYFUNCTION("""COMPUTED_VALUE"""),2)</f>
        <v>2</v>
      </c>
      <c r="G293" s="46">
        <f ca="1">IFERROR(__xludf.DUMMYFUNCTION("""COMPUTED_VALUE"""),0)</f>
        <v>0</v>
      </c>
      <c r="H293" s="46">
        <f ca="1">IFERROR(__xludf.DUMMYFUNCTION("""COMPUTED_VALUE"""),0)</f>
        <v>0</v>
      </c>
      <c r="I293" s="46">
        <f ca="1">IFERROR(__xludf.DUMMYFUNCTION("""COMPUTED_VALUE"""),2)</f>
        <v>2</v>
      </c>
      <c r="J293" s="46">
        <f ca="1">IFERROR(__xludf.DUMMYFUNCTION("""COMPUTED_VALUE"""),0)</f>
        <v>0</v>
      </c>
      <c r="K293" s="46">
        <f ca="1">IFERROR(__xludf.DUMMYFUNCTION("""COMPUTED_VALUE"""),0)</f>
        <v>0</v>
      </c>
      <c r="L293" s="46">
        <f ca="1">IFERROR(__xludf.DUMMYFUNCTION("""COMPUTED_VALUE"""),0)</f>
        <v>0</v>
      </c>
      <c r="M293" s="46">
        <f ca="1">IFERROR(__xludf.DUMMYFUNCTION("""COMPUTED_VALUE"""),0)</f>
        <v>0</v>
      </c>
      <c r="N293" s="46">
        <f ca="1">IFERROR(__xludf.DUMMYFUNCTION("""COMPUTED_VALUE"""),0)</f>
        <v>0</v>
      </c>
      <c r="O293" s="50">
        <f t="shared" ca="1" si="2"/>
        <v>4</v>
      </c>
    </row>
    <row r="294" spans="1:15" ht="12.75">
      <c r="A294" s="50" t="str">
        <f ca="1">IFERROR(__xludf.DUMMYFUNCTION("""COMPUTED_VALUE"""),"CD88")</f>
        <v>CD88</v>
      </c>
      <c r="B294" s="77" t="str">
        <f ca="1">IFERROR(__xludf.DUMMYFUNCTION("""COMPUTED_VALUE"""),"06880113")</f>
        <v>06880113</v>
      </c>
      <c r="C294" s="48" t="str">
        <f ca="1">IFERROR(__xludf.DUMMYFUNCTION("""COMPUTED_VALUE"""),"LA BOURGONCE ST MICHEL TT")</f>
        <v>LA BOURGONCE ST MICHEL TT</v>
      </c>
      <c r="D294" s="46">
        <f ca="1">IFERROR(__xludf.DUMMYFUNCTION("""COMPUTED_VALUE"""),1)</f>
        <v>1</v>
      </c>
      <c r="E294" s="46">
        <f ca="1">IFERROR(__xludf.DUMMYFUNCTION("""COMPUTED_VALUE"""),0)</f>
        <v>0</v>
      </c>
      <c r="F294" s="46">
        <f ca="1">IFERROR(__xludf.DUMMYFUNCTION("""COMPUTED_VALUE"""),0)</f>
        <v>0</v>
      </c>
      <c r="G294" s="46">
        <f ca="1">IFERROR(__xludf.DUMMYFUNCTION("""COMPUTED_VALUE"""),0)</f>
        <v>0</v>
      </c>
      <c r="H294" s="46">
        <f ca="1">IFERROR(__xludf.DUMMYFUNCTION("""COMPUTED_VALUE"""),0)</f>
        <v>0</v>
      </c>
      <c r="I294" s="46">
        <f ca="1">IFERROR(__xludf.DUMMYFUNCTION("""COMPUTED_VALUE"""),0)</f>
        <v>0</v>
      </c>
      <c r="J294" s="46">
        <f ca="1">IFERROR(__xludf.DUMMYFUNCTION("""COMPUTED_VALUE"""),0)</f>
        <v>0</v>
      </c>
      <c r="K294" s="46">
        <f ca="1">IFERROR(__xludf.DUMMYFUNCTION("""COMPUTED_VALUE"""),0)</f>
        <v>0</v>
      </c>
      <c r="L294" s="46">
        <f ca="1">IFERROR(__xludf.DUMMYFUNCTION("""COMPUTED_VALUE"""),0)</f>
        <v>0</v>
      </c>
      <c r="M294" s="46">
        <f ca="1">IFERROR(__xludf.DUMMYFUNCTION("""COMPUTED_VALUE"""),0)</f>
        <v>0</v>
      </c>
      <c r="N294" s="46">
        <f ca="1">IFERROR(__xludf.DUMMYFUNCTION("""COMPUTED_VALUE"""),0)</f>
        <v>0</v>
      </c>
      <c r="O294" s="50">
        <f t="shared" ca="1" si="2"/>
        <v>1</v>
      </c>
    </row>
    <row r="295" spans="1:15" ht="12.75">
      <c r="A295" s="50" t="str">
        <f ca="1">IFERROR(__xludf.DUMMYFUNCTION("""COMPUTED_VALUE"""),"CD88")</f>
        <v>CD88</v>
      </c>
      <c r="B295" s="77" t="str">
        <f ca="1">IFERROR(__xludf.DUMMYFUNCTION("""COMPUTED_VALUE"""),"06880119")</f>
        <v>06880119</v>
      </c>
      <c r="C295" s="48" t="str">
        <f ca="1">IFERROR(__xludf.DUMMYFUNCTION("""COMPUTED_VALUE"""),"CHARMES-VINCEY T.T.")</f>
        <v>CHARMES-VINCEY T.T.</v>
      </c>
      <c r="D295" s="46">
        <f ca="1">IFERROR(__xludf.DUMMYFUNCTION("""COMPUTED_VALUE"""),0)</f>
        <v>0</v>
      </c>
      <c r="E295" s="46">
        <f ca="1">IFERROR(__xludf.DUMMYFUNCTION("""COMPUTED_VALUE"""),0)</f>
        <v>0</v>
      </c>
      <c r="F295" s="46">
        <f ca="1">IFERROR(__xludf.DUMMYFUNCTION("""COMPUTED_VALUE"""),4)</f>
        <v>4</v>
      </c>
      <c r="G295" s="46">
        <f ca="1">IFERROR(__xludf.DUMMYFUNCTION("""COMPUTED_VALUE"""),0)</f>
        <v>0</v>
      </c>
      <c r="H295" s="46">
        <f ca="1">IFERROR(__xludf.DUMMYFUNCTION("""COMPUTED_VALUE"""),0)</f>
        <v>0</v>
      </c>
      <c r="I295" s="46">
        <f ca="1">IFERROR(__xludf.DUMMYFUNCTION("""COMPUTED_VALUE"""),2)</f>
        <v>2</v>
      </c>
      <c r="J295" s="46">
        <f ca="1">IFERROR(__xludf.DUMMYFUNCTION("""COMPUTED_VALUE"""),1)</f>
        <v>1</v>
      </c>
      <c r="K295" s="46">
        <f ca="1">IFERROR(__xludf.DUMMYFUNCTION("""COMPUTED_VALUE"""),0)</f>
        <v>0</v>
      </c>
      <c r="L295" s="46">
        <f ca="1">IFERROR(__xludf.DUMMYFUNCTION("""COMPUTED_VALUE"""),0)</f>
        <v>0</v>
      </c>
      <c r="M295" s="46">
        <f ca="1">IFERROR(__xludf.DUMMYFUNCTION("""COMPUTED_VALUE"""),0)</f>
        <v>0</v>
      </c>
      <c r="N295" s="46">
        <f ca="1">IFERROR(__xludf.DUMMYFUNCTION("""COMPUTED_VALUE"""),0)</f>
        <v>0</v>
      </c>
      <c r="O295" s="50">
        <f t="shared" ca="1" si="2"/>
        <v>7</v>
      </c>
    </row>
    <row r="296" spans="1:15" ht="12.75">
      <c r="A296" s="50" t="str">
        <f ca="1">IFERROR(__xludf.DUMMYFUNCTION("""COMPUTED_VALUE"""),"CD88")</f>
        <v>CD88</v>
      </c>
      <c r="B296" s="77" t="str">
        <f ca="1">IFERROR(__xludf.DUMMYFUNCTION("""COMPUTED_VALUE"""),"06880123")</f>
        <v>06880123</v>
      </c>
      <c r="C296" s="48" t="str">
        <f ca="1">IFERROR(__xludf.DUMMYFUNCTION("""COMPUTED_VALUE"""),"ETIVAL ASRTT")</f>
        <v>ETIVAL ASRTT</v>
      </c>
      <c r="D296" s="46">
        <f ca="1">IFERROR(__xludf.DUMMYFUNCTION("""COMPUTED_VALUE"""),11)</f>
        <v>11</v>
      </c>
      <c r="E296" s="46">
        <f ca="1">IFERROR(__xludf.DUMMYFUNCTION("""COMPUTED_VALUE"""),0)</f>
        <v>0</v>
      </c>
      <c r="F296" s="46">
        <f ca="1">IFERROR(__xludf.DUMMYFUNCTION("""COMPUTED_VALUE"""),5)</f>
        <v>5</v>
      </c>
      <c r="G296" s="46">
        <f ca="1">IFERROR(__xludf.DUMMYFUNCTION("""COMPUTED_VALUE"""),0)</f>
        <v>0</v>
      </c>
      <c r="H296" s="46">
        <f ca="1">IFERROR(__xludf.DUMMYFUNCTION("""COMPUTED_VALUE"""),0)</f>
        <v>0</v>
      </c>
      <c r="I296" s="46">
        <f ca="1">IFERROR(__xludf.DUMMYFUNCTION("""COMPUTED_VALUE"""),5)</f>
        <v>5</v>
      </c>
      <c r="J296" s="46">
        <f ca="1">IFERROR(__xludf.DUMMYFUNCTION("""COMPUTED_VALUE"""),0)</f>
        <v>0</v>
      </c>
      <c r="K296" s="46">
        <f ca="1">IFERROR(__xludf.DUMMYFUNCTION("""COMPUTED_VALUE"""),0)</f>
        <v>0</v>
      </c>
      <c r="L296" s="46">
        <f ca="1">IFERROR(__xludf.DUMMYFUNCTION("""COMPUTED_VALUE"""),0)</f>
        <v>0</v>
      </c>
      <c r="M296" s="46">
        <f ca="1">IFERROR(__xludf.DUMMYFUNCTION("""COMPUTED_VALUE"""),0)</f>
        <v>0</v>
      </c>
      <c r="N296" s="46">
        <f ca="1">IFERROR(__xludf.DUMMYFUNCTION("""COMPUTED_VALUE"""),0)</f>
        <v>0</v>
      </c>
      <c r="O296" s="50">
        <f t="shared" ca="1" si="2"/>
        <v>21</v>
      </c>
    </row>
    <row r="297" spans="1:15" ht="12.75">
      <c r="A297" s="50" t="str">
        <f ca="1">IFERROR(__xludf.DUMMYFUNCTION("""COMPUTED_VALUE"""),"CD88")</f>
        <v>CD88</v>
      </c>
      <c r="B297" s="77" t="str">
        <f ca="1">IFERROR(__xludf.DUMMYFUNCTION("""COMPUTED_VALUE"""),"06880138")</f>
        <v>06880138</v>
      </c>
      <c r="C297" s="48" t="str">
        <f ca="1">IFERROR(__xludf.DUMMYFUNCTION("""COMPUTED_VALUE"""),"MONTHUREUX SUR SAONE TT")</f>
        <v>MONTHUREUX SUR SAONE TT</v>
      </c>
      <c r="D297" s="46">
        <f ca="1">IFERROR(__xludf.DUMMYFUNCTION("""COMPUTED_VALUE"""),0)</f>
        <v>0</v>
      </c>
      <c r="E297" s="46">
        <f ca="1">IFERROR(__xludf.DUMMYFUNCTION("""COMPUTED_VALUE"""),0)</f>
        <v>0</v>
      </c>
      <c r="F297" s="46">
        <f ca="1">IFERROR(__xludf.DUMMYFUNCTION("""COMPUTED_VALUE"""),2)</f>
        <v>2</v>
      </c>
      <c r="G297" s="46">
        <f ca="1">IFERROR(__xludf.DUMMYFUNCTION("""COMPUTED_VALUE"""),0)</f>
        <v>0</v>
      </c>
      <c r="H297" s="46">
        <f ca="1">IFERROR(__xludf.DUMMYFUNCTION("""COMPUTED_VALUE"""),0)</f>
        <v>0</v>
      </c>
      <c r="I297" s="46">
        <f ca="1">IFERROR(__xludf.DUMMYFUNCTION("""COMPUTED_VALUE"""),2)</f>
        <v>2</v>
      </c>
      <c r="J297" s="46">
        <f ca="1">IFERROR(__xludf.DUMMYFUNCTION("""COMPUTED_VALUE"""),0)</f>
        <v>0</v>
      </c>
      <c r="K297" s="46">
        <f ca="1">IFERROR(__xludf.DUMMYFUNCTION("""COMPUTED_VALUE"""),0)</f>
        <v>0</v>
      </c>
      <c r="L297" s="46">
        <f ca="1">IFERROR(__xludf.DUMMYFUNCTION("""COMPUTED_VALUE"""),0)</f>
        <v>0</v>
      </c>
      <c r="M297" s="46">
        <f ca="1">IFERROR(__xludf.DUMMYFUNCTION("""COMPUTED_VALUE"""),0)</f>
        <v>0</v>
      </c>
      <c r="N297" s="46">
        <f ca="1">IFERROR(__xludf.DUMMYFUNCTION("""COMPUTED_VALUE"""),0)</f>
        <v>0</v>
      </c>
      <c r="O297" s="50">
        <f t="shared" ca="1" si="2"/>
        <v>4</v>
      </c>
    </row>
    <row r="298" spans="1:15" ht="12.75">
      <c r="A298" s="50" t="str">
        <f ca="1">IFERROR(__xludf.DUMMYFUNCTION("""COMPUTED_VALUE"""),"CD88")</f>
        <v>CD88</v>
      </c>
      <c r="B298" s="77" t="str">
        <f ca="1">IFERROR(__xludf.DUMMYFUNCTION("""COMPUTED_VALUE"""),"06880140")</f>
        <v>06880140</v>
      </c>
      <c r="C298" s="48" t="str">
        <f ca="1">IFERROR(__xludf.DUMMYFUNCTION("""COMPUTED_VALUE"""),"TENNIS DE TABLE THIAVILLE FR")</f>
        <v>TENNIS DE TABLE THIAVILLE FR</v>
      </c>
      <c r="D298" s="46">
        <f ca="1">IFERROR(__xludf.DUMMYFUNCTION("""COMPUTED_VALUE"""),0)</f>
        <v>0</v>
      </c>
      <c r="E298" s="46">
        <f ca="1">IFERROR(__xludf.DUMMYFUNCTION("""COMPUTED_VALUE"""),0)</f>
        <v>0</v>
      </c>
      <c r="F298" s="46">
        <f ca="1">IFERROR(__xludf.DUMMYFUNCTION("""COMPUTED_VALUE"""),2)</f>
        <v>2</v>
      </c>
      <c r="G298" s="46">
        <f ca="1">IFERROR(__xludf.DUMMYFUNCTION("""COMPUTED_VALUE"""),0)</f>
        <v>0</v>
      </c>
      <c r="H298" s="46">
        <f ca="1">IFERROR(__xludf.DUMMYFUNCTION("""COMPUTED_VALUE"""),0)</f>
        <v>0</v>
      </c>
      <c r="I298" s="46">
        <f ca="1">IFERROR(__xludf.DUMMYFUNCTION("""COMPUTED_VALUE"""),0)</f>
        <v>0</v>
      </c>
      <c r="J298" s="46">
        <f ca="1">IFERROR(__xludf.DUMMYFUNCTION("""COMPUTED_VALUE"""),2)</f>
        <v>2</v>
      </c>
      <c r="K298" s="46">
        <f ca="1">IFERROR(__xludf.DUMMYFUNCTION("""COMPUTED_VALUE"""),0)</f>
        <v>0</v>
      </c>
      <c r="L298" s="46">
        <f ca="1">IFERROR(__xludf.DUMMYFUNCTION("""COMPUTED_VALUE"""),0)</f>
        <v>0</v>
      </c>
      <c r="M298" s="46">
        <f ca="1">IFERROR(__xludf.DUMMYFUNCTION("""COMPUTED_VALUE"""),0)</f>
        <v>0</v>
      </c>
      <c r="N298" s="46">
        <f ca="1">IFERROR(__xludf.DUMMYFUNCTION("""COMPUTED_VALUE"""),0)</f>
        <v>0</v>
      </c>
      <c r="O298" s="50">
        <f t="shared" ca="1" si="2"/>
        <v>4</v>
      </c>
    </row>
    <row r="299" spans="1:15" ht="12.75">
      <c r="A299" s="50" t="str">
        <f ca="1">IFERROR(__xludf.DUMMYFUNCTION("""COMPUTED_VALUE"""),"CD88")</f>
        <v>CD88</v>
      </c>
      <c r="B299" s="77" t="str">
        <f ca="1">IFERROR(__xludf.DUMMYFUNCTION("""COMPUTED_VALUE"""),"06880143")</f>
        <v>06880143</v>
      </c>
      <c r="C299" s="48" t="str">
        <f ca="1">IFERROR(__xludf.DUMMYFUNCTION("""COMPUTED_VALUE"""),"HADIGNY FR TT")</f>
        <v>HADIGNY FR TT</v>
      </c>
      <c r="D299" s="46">
        <f ca="1">IFERROR(__xludf.DUMMYFUNCTION("""COMPUTED_VALUE"""),0)</f>
        <v>0</v>
      </c>
      <c r="E299" s="46">
        <f ca="1">IFERROR(__xludf.DUMMYFUNCTION("""COMPUTED_VALUE"""),0)</f>
        <v>0</v>
      </c>
      <c r="F299" s="46">
        <f ca="1">IFERROR(__xludf.DUMMYFUNCTION("""COMPUTED_VALUE"""),0)</f>
        <v>0</v>
      </c>
      <c r="G299" s="46">
        <f ca="1">IFERROR(__xludf.DUMMYFUNCTION("""COMPUTED_VALUE"""),0)</f>
        <v>0</v>
      </c>
      <c r="H299" s="46">
        <f ca="1">IFERROR(__xludf.DUMMYFUNCTION("""COMPUTED_VALUE"""),0)</f>
        <v>0</v>
      </c>
      <c r="I299" s="46">
        <f ca="1">IFERROR(__xludf.DUMMYFUNCTION("""COMPUTED_VALUE"""),0)</f>
        <v>0</v>
      </c>
      <c r="J299" s="46">
        <f ca="1">IFERROR(__xludf.DUMMYFUNCTION("""COMPUTED_VALUE"""),0)</f>
        <v>0</v>
      </c>
      <c r="K299" s="46">
        <f ca="1">IFERROR(__xludf.DUMMYFUNCTION("""COMPUTED_VALUE"""),0)</f>
        <v>0</v>
      </c>
      <c r="L299" s="46">
        <f ca="1">IFERROR(__xludf.DUMMYFUNCTION("""COMPUTED_VALUE"""),0)</f>
        <v>0</v>
      </c>
      <c r="M299" s="46">
        <f ca="1">IFERROR(__xludf.DUMMYFUNCTION("""COMPUTED_VALUE"""),0)</f>
        <v>0</v>
      </c>
      <c r="N299" s="46">
        <f ca="1">IFERROR(__xludf.DUMMYFUNCTION("""COMPUTED_VALUE"""),0)</f>
        <v>0</v>
      </c>
      <c r="O299" s="50">
        <f t="shared" ca="1" si="2"/>
        <v>0</v>
      </c>
    </row>
    <row r="300" spans="1:15" ht="12.75">
      <c r="A300" s="50" t="str">
        <f ca="1">IFERROR(__xludf.DUMMYFUNCTION("""COMPUTED_VALUE"""),"CD88")</f>
        <v>CD88</v>
      </c>
      <c r="B300" s="77" t="str">
        <f ca="1">IFERROR(__xludf.DUMMYFUNCTION("""COMPUTED_VALUE"""),"06880145")</f>
        <v>06880145</v>
      </c>
      <c r="C300" s="48" t="str">
        <f ca="1">IFERROR(__xludf.DUMMYFUNCTION("""COMPUTED_VALUE"""),"THAON CHENIMENIL E.S.T.T.")</f>
        <v>THAON CHENIMENIL E.S.T.T.</v>
      </c>
      <c r="D300" s="46">
        <f ca="1">IFERROR(__xludf.DUMMYFUNCTION("""COMPUTED_VALUE"""),9)</f>
        <v>9</v>
      </c>
      <c r="E300" s="46">
        <f ca="1">IFERROR(__xludf.DUMMYFUNCTION("""COMPUTED_VALUE"""),0)</f>
        <v>0</v>
      </c>
      <c r="F300" s="46">
        <f ca="1">IFERROR(__xludf.DUMMYFUNCTION("""COMPUTED_VALUE"""),5)</f>
        <v>5</v>
      </c>
      <c r="G300" s="46">
        <f ca="1">IFERROR(__xludf.DUMMYFUNCTION("""COMPUTED_VALUE"""),0)</f>
        <v>0</v>
      </c>
      <c r="H300" s="46">
        <f ca="1">IFERROR(__xludf.DUMMYFUNCTION("""COMPUTED_VALUE"""),0)</f>
        <v>0</v>
      </c>
      <c r="I300" s="46">
        <f ca="1">IFERROR(__xludf.DUMMYFUNCTION("""COMPUTED_VALUE"""),5)</f>
        <v>5</v>
      </c>
      <c r="J300" s="46">
        <f ca="1">IFERROR(__xludf.DUMMYFUNCTION("""COMPUTED_VALUE"""),0)</f>
        <v>0</v>
      </c>
      <c r="K300" s="46">
        <f ca="1">IFERROR(__xludf.DUMMYFUNCTION("""COMPUTED_VALUE"""),0)</f>
        <v>0</v>
      </c>
      <c r="L300" s="46">
        <f ca="1">IFERROR(__xludf.DUMMYFUNCTION("""COMPUTED_VALUE"""),0)</f>
        <v>0</v>
      </c>
      <c r="M300" s="46">
        <f ca="1">IFERROR(__xludf.DUMMYFUNCTION("""COMPUTED_VALUE"""),0)</f>
        <v>0</v>
      </c>
      <c r="N300" s="46">
        <f ca="1">IFERROR(__xludf.DUMMYFUNCTION("""COMPUTED_VALUE"""),0)</f>
        <v>0</v>
      </c>
      <c r="O300" s="50">
        <f t="shared" ca="1" si="2"/>
        <v>19</v>
      </c>
    </row>
    <row r="301" spans="1:15" ht="12.75">
      <c r="A301" s="50" t="str">
        <f ca="1">IFERROR(__xludf.DUMMYFUNCTION("""COMPUTED_VALUE"""),"CD88")</f>
        <v>CD88</v>
      </c>
      <c r="B301" s="77" t="str">
        <f ca="1">IFERROR(__xludf.DUMMYFUNCTION("""COMPUTED_VALUE"""),"06880146")</f>
        <v>06880146</v>
      </c>
      <c r="C301" s="48" t="str">
        <f ca="1">IFERROR(__xludf.DUMMYFUNCTION("""COMPUTED_VALUE"""),"DOMPAIRE USTT")</f>
        <v>DOMPAIRE USTT</v>
      </c>
      <c r="D301" s="46">
        <f ca="1">IFERROR(__xludf.DUMMYFUNCTION("""COMPUTED_VALUE"""),0)</f>
        <v>0</v>
      </c>
      <c r="E301" s="46">
        <f ca="1">IFERROR(__xludf.DUMMYFUNCTION("""COMPUTED_VALUE"""),0)</f>
        <v>0</v>
      </c>
      <c r="F301" s="46">
        <f ca="1">IFERROR(__xludf.DUMMYFUNCTION("""COMPUTED_VALUE"""),0)</f>
        <v>0</v>
      </c>
      <c r="G301" s="46">
        <f ca="1">IFERROR(__xludf.DUMMYFUNCTION("""COMPUTED_VALUE"""),0)</f>
        <v>0</v>
      </c>
      <c r="H301" s="46">
        <f ca="1">IFERROR(__xludf.DUMMYFUNCTION("""COMPUTED_VALUE"""),0)</f>
        <v>0</v>
      </c>
      <c r="I301" s="46">
        <f ca="1">IFERROR(__xludf.DUMMYFUNCTION("""COMPUTED_VALUE"""),0)</f>
        <v>0</v>
      </c>
      <c r="J301" s="46">
        <f ca="1">IFERROR(__xludf.DUMMYFUNCTION("""COMPUTED_VALUE"""),0)</f>
        <v>0</v>
      </c>
      <c r="K301" s="46">
        <f ca="1">IFERROR(__xludf.DUMMYFUNCTION("""COMPUTED_VALUE"""),0)</f>
        <v>0</v>
      </c>
      <c r="L301" s="46">
        <f ca="1">IFERROR(__xludf.DUMMYFUNCTION("""COMPUTED_VALUE"""),0)</f>
        <v>0</v>
      </c>
      <c r="M301" s="46">
        <f ca="1">IFERROR(__xludf.DUMMYFUNCTION("""COMPUTED_VALUE"""),0)</f>
        <v>0</v>
      </c>
      <c r="N301" s="46">
        <f ca="1">IFERROR(__xludf.DUMMYFUNCTION("""COMPUTED_VALUE"""),0)</f>
        <v>0</v>
      </c>
      <c r="O301" s="50">
        <f t="shared" ca="1" si="2"/>
        <v>0</v>
      </c>
    </row>
    <row r="302" spans="1:15" ht="12.75">
      <c r="A302" s="50" t="str">
        <f ca="1">IFERROR(__xludf.DUMMYFUNCTION("""COMPUTED_VALUE"""),"CD88")</f>
        <v>CD88</v>
      </c>
      <c r="B302" s="77" t="str">
        <f ca="1">IFERROR(__xludf.DUMMYFUNCTION("""COMPUTED_VALUE"""),"06880157")</f>
        <v>06880157</v>
      </c>
      <c r="C302" s="48" t="str">
        <f ca="1">IFERROR(__xludf.DUMMYFUNCTION("""COMPUTED_VALUE"""),"BEGNECOURT F Rural MADON ILLON")</f>
        <v>BEGNECOURT F Rural MADON ILLON</v>
      </c>
      <c r="D302" s="46">
        <f ca="1">IFERROR(__xludf.DUMMYFUNCTION("""COMPUTED_VALUE"""),0)</f>
        <v>0</v>
      </c>
      <c r="E302" s="46">
        <f ca="1">IFERROR(__xludf.DUMMYFUNCTION("""COMPUTED_VALUE"""),0)</f>
        <v>0</v>
      </c>
      <c r="F302" s="46">
        <f ca="1">IFERROR(__xludf.DUMMYFUNCTION("""COMPUTED_VALUE"""),0)</f>
        <v>0</v>
      </c>
      <c r="G302" s="46">
        <f ca="1">IFERROR(__xludf.DUMMYFUNCTION("""COMPUTED_VALUE"""),0)</f>
        <v>0</v>
      </c>
      <c r="H302" s="46">
        <f ca="1">IFERROR(__xludf.DUMMYFUNCTION("""COMPUTED_VALUE"""),0)</f>
        <v>0</v>
      </c>
      <c r="I302" s="46">
        <f ca="1">IFERROR(__xludf.DUMMYFUNCTION("""COMPUTED_VALUE"""),0)</f>
        <v>0</v>
      </c>
      <c r="J302" s="46">
        <f ca="1">IFERROR(__xludf.DUMMYFUNCTION("""COMPUTED_VALUE"""),0)</f>
        <v>0</v>
      </c>
      <c r="K302" s="46">
        <f ca="1">IFERROR(__xludf.DUMMYFUNCTION("""COMPUTED_VALUE"""),0)</f>
        <v>0</v>
      </c>
      <c r="L302" s="46">
        <f ca="1">IFERROR(__xludf.DUMMYFUNCTION("""COMPUTED_VALUE"""),0)</f>
        <v>0</v>
      </c>
      <c r="M302" s="46">
        <f ca="1">IFERROR(__xludf.DUMMYFUNCTION("""COMPUTED_VALUE"""),0)</f>
        <v>0</v>
      </c>
      <c r="N302" s="46">
        <f ca="1">IFERROR(__xludf.DUMMYFUNCTION("""COMPUTED_VALUE"""),0)</f>
        <v>0</v>
      </c>
      <c r="O302" s="50">
        <f t="shared" ca="1" si="2"/>
        <v>0</v>
      </c>
    </row>
    <row r="303" spans="1:15" ht="12.75">
      <c r="A303" s="50" t="str">
        <f ca="1">IFERROR(__xludf.DUMMYFUNCTION("""COMPUTED_VALUE"""),"CD88")</f>
        <v>CD88</v>
      </c>
      <c r="B303" s="77" t="str">
        <f ca="1">IFERROR(__xludf.DUMMYFUNCTION("""COMPUTED_VALUE"""),"06880159")</f>
        <v>06880159</v>
      </c>
      <c r="C303" s="48" t="str">
        <f ca="1">IFERROR(__xludf.DUMMYFUNCTION("""COMPUTED_VALUE"""),"PONGISTES GEROMOIS")</f>
        <v>PONGISTES GEROMOIS</v>
      </c>
      <c r="D303" s="46">
        <f ca="1">IFERROR(__xludf.DUMMYFUNCTION("""COMPUTED_VALUE"""),0)</f>
        <v>0</v>
      </c>
      <c r="E303" s="46">
        <f ca="1">IFERROR(__xludf.DUMMYFUNCTION("""COMPUTED_VALUE"""),0)</f>
        <v>0</v>
      </c>
      <c r="F303" s="46">
        <f ca="1">IFERROR(__xludf.DUMMYFUNCTION("""COMPUTED_VALUE"""),0)</f>
        <v>0</v>
      </c>
      <c r="G303" s="46">
        <f ca="1">IFERROR(__xludf.DUMMYFUNCTION("""COMPUTED_VALUE"""),0)</f>
        <v>0</v>
      </c>
      <c r="H303" s="46">
        <f ca="1">IFERROR(__xludf.DUMMYFUNCTION("""COMPUTED_VALUE"""),0)</f>
        <v>0</v>
      </c>
      <c r="I303" s="46">
        <f ca="1">IFERROR(__xludf.DUMMYFUNCTION("""COMPUTED_VALUE"""),0)</f>
        <v>0</v>
      </c>
      <c r="J303" s="46">
        <f ca="1">IFERROR(__xludf.DUMMYFUNCTION("""COMPUTED_VALUE"""),0)</f>
        <v>0</v>
      </c>
      <c r="K303" s="46">
        <f ca="1">IFERROR(__xludf.DUMMYFUNCTION("""COMPUTED_VALUE"""),0)</f>
        <v>0</v>
      </c>
      <c r="L303" s="46">
        <f ca="1">IFERROR(__xludf.DUMMYFUNCTION("""COMPUTED_VALUE"""),0)</f>
        <v>0</v>
      </c>
      <c r="M303" s="46">
        <f ca="1">IFERROR(__xludf.DUMMYFUNCTION("""COMPUTED_VALUE"""),0)</f>
        <v>0</v>
      </c>
      <c r="N303" s="46">
        <f ca="1">IFERROR(__xludf.DUMMYFUNCTION("""COMPUTED_VALUE"""),0)</f>
        <v>0</v>
      </c>
      <c r="O303" s="50">
        <f t="shared" ca="1" si="2"/>
        <v>0</v>
      </c>
    </row>
    <row r="304" spans="1:15" ht="12.75">
      <c r="A304" s="50" t="str">
        <f ca="1">IFERROR(__xludf.DUMMYFUNCTION("""COMPUTED_VALUE"""),"")</f>
        <v/>
      </c>
      <c r="B304" s="77"/>
      <c r="C304" s="48"/>
      <c r="D304" s="46">
        <f ca="1">IFERROR(__xludf.DUMMYFUNCTION("""COMPUTED_VALUE"""),0)</f>
        <v>0</v>
      </c>
      <c r="E304" s="46">
        <f ca="1">IFERROR(__xludf.DUMMYFUNCTION("""COMPUTED_VALUE"""),0)</f>
        <v>0</v>
      </c>
      <c r="F304" s="46">
        <f ca="1">IFERROR(__xludf.DUMMYFUNCTION("""COMPUTED_VALUE"""),0)</f>
        <v>0</v>
      </c>
      <c r="G304" s="46">
        <f ca="1">IFERROR(__xludf.DUMMYFUNCTION("""COMPUTED_VALUE"""),0)</f>
        <v>0</v>
      </c>
      <c r="H304" s="46">
        <f ca="1">IFERROR(__xludf.DUMMYFUNCTION("""COMPUTED_VALUE"""),0)</f>
        <v>0</v>
      </c>
      <c r="I304" s="46">
        <f ca="1">IFERROR(__xludf.DUMMYFUNCTION("""COMPUTED_VALUE"""),0)</f>
        <v>0</v>
      </c>
      <c r="J304" s="46">
        <f ca="1">IFERROR(__xludf.DUMMYFUNCTION("""COMPUTED_VALUE"""),0)</f>
        <v>0</v>
      </c>
      <c r="K304" s="46">
        <f ca="1">IFERROR(__xludf.DUMMYFUNCTION("""COMPUTED_VALUE"""),0)</f>
        <v>0</v>
      </c>
      <c r="L304" s="46">
        <f ca="1">IFERROR(__xludf.DUMMYFUNCTION("""COMPUTED_VALUE"""),0)</f>
        <v>0</v>
      </c>
      <c r="M304" s="46">
        <f ca="1">IFERROR(__xludf.DUMMYFUNCTION("""COMPUTED_VALUE"""),0)</f>
        <v>0</v>
      </c>
      <c r="N304" s="46">
        <f ca="1">IFERROR(__xludf.DUMMYFUNCTION("""COMPUTED_VALUE"""),0)</f>
        <v>0</v>
      </c>
      <c r="O304" s="50">
        <f t="shared" ca="1" si="2"/>
        <v>0</v>
      </c>
    </row>
    <row r="305" spans="1:15" ht="12.75">
      <c r="A305" s="50" t="str">
        <f ca="1">IFERROR(__xludf.DUMMYFUNCTION("""COMPUTED_VALUE"""),"")</f>
        <v/>
      </c>
      <c r="B305" s="77"/>
      <c r="C305" s="48"/>
      <c r="D305" s="46">
        <f ca="1">IFERROR(__xludf.DUMMYFUNCTION("""COMPUTED_VALUE"""),0)</f>
        <v>0</v>
      </c>
      <c r="E305" s="46">
        <f ca="1">IFERROR(__xludf.DUMMYFUNCTION("""COMPUTED_VALUE"""),0)</f>
        <v>0</v>
      </c>
      <c r="F305" s="46">
        <f ca="1">IFERROR(__xludf.DUMMYFUNCTION("""COMPUTED_VALUE"""),0)</f>
        <v>0</v>
      </c>
      <c r="G305" s="46">
        <f ca="1">IFERROR(__xludf.DUMMYFUNCTION("""COMPUTED_VALUE"""),0)</f>
        <v>0</v>
      </c>
      <c r="H305" s="46">
        <f ca="1">IFERROR(__xludf.DUMMYFUNCTION("""COMPUTED_VALUE"""),0)</f>
        <v>0</v>
      </c>
      <c r="I305" s="46">
        <f ca="1">IFERROR(__xludf.DUMMYFUNCTION("""COMPUTED_VALUE"""),0)</f>
        <v>0</v>
      </c>
      <c r="J305" s="46">
        <f ca="1">IFERROR(__xludf.DUMMYFUNCTION("""COMPUTED_VALUE"""),0)</f>
        <v>0</v>
      </c>
      <c r="K305" s="46">
        <f ca="1">IFERROR(__xludf.DUMMYFUNCTION("""COMPUTED_VALUE"""),0)</f>
        <v>0</v>
      </c>
      <c r="L305" s="46">
        <f ca="1">IFERROR(__xludf.DUMMYFUNCTION("""COMPUTED_VALUE"""),0)</f>
        <v>0</v>
      </c>
      <c r="M305" s="46">
        <f ca="1">IFERROR(__xludf.DUMMYFUNCTION("""COMPUTED_VALUE"""),0)</f>
        <v>0</v>
      </c>
      <c r="N305" s="46">
        <f ca="1">IFERROR(__xludf.DUMMYFUNCTION("""COMPUTED_VALUE"""),0)</f>
        <v>0</v>
      </c>
      <c r="O305" s="50">
        <f t="shared" ca="1" si="2"/>
        <v>0</v>
      </c>
    </row>
    <row r="306" spans="1:15" ht="12.75">
      <c r="A306" s="50" t="str">
        <f ca="1">IFERROR(__xludf.DUMMYFUNCTION("""COMPUTED_VALUE"""),"")</f>
        <v/>
      </c>
      <c r="B306" s="77"/>
      <c r="C306" s="48"/>
      <c r="D306" s="46">
        <f ca="1">IFERROR(__xludf.DUMMYFUNCTION("""COMPUTED_VALUE"""),0)</f>
        <v>0</v>
      </c>
      <c r="E306" s="46">
        <f ca="1">IFERROR(__xludf.DUMMYFUNCTION("""COMPUTED_VALUE"""),0)</f>
        <v>0</v>
      </c>
      <c r="F306" s="46">
        <f ca="1">IFERROR(__xludf.DUMMYFUNCTION("""COMPUTED_VALUE"""),0)</f>
        <v>0</v>
      </c>
      <c r="G306" s="46">
        <f ca="1">IFERROR(__xludf.DUMMYFUNCTION("""COMPUTED_VALUE"""),0)</f>
        <v>0</v>
      </c>
      <c r="H306" s="46">
        <f ca="1">IFERROR(__xludf.DUMMYFUNCTION("""COMPUTED_VALUE"""),0)</f>
        <v>0</v>
      </c>
      <c r="I306" s="46">
        <f ca="1">IFERROR(__xludf.DUMMYFUNCTION("""COMPUTED_VALUE"""),0)</f>
        <v>0</v>
      </c>
      <c r="J306" s="46">
        <f ca="1">IFERROR(__xludf.DUMMYFUNCTION("""COMPUTED_VALUE"""),0)</f>
        <v>0</v>
      </c>
      <c r="K306" s="46">
        <f ca="1">IFERROR(__xludf.DUMMYFUNCTION("""COMPUTED_VALUE"""),0)</f>
        <v>0</v>
      </c>
      <c r="L306" s="46">
        <f ca="1">IFERROR(__xludf.DUMMYFUNCTION("""COMPUTED_VALUE"""),0)</f>
        <v>0</v>
      </c>
      <c r="M306" s="46">
        <f ca="1">IFERROR(__xludf.DUMMYFUNCTION("""COMPUTED_VALUE"""),0)</f>
        <v>0</v>
      </c>
      <c r="N306" s="46">
        <f ca="1">IFERROR(__xludf.DUMMYFUNCTION("""COMPUTED_VALUE"""),0)</f>
        <v>0</v>
      </c>
      <c r="O306" s="50">
        <f t="shared" ca="1" si="2"/>
        <v>0</v>
      </c>
    </row>
    <row r="307" spans="1:15" ht="12.75">
      <c r="A307" s="50" t="str">
        <f ca="1">IFERROR(__xludf.DUMMYFUNCTION("""COMPUTED_VALUE"""),"")</f>
        <v/>
      </c>
      <c r="B307" s="77"/>
      <c r="C307" s="48"/>
      <c r="D307" s="46">
        <f ca="1">IFERROR(__xludf.DUMMYFUNCTION("""COMPUTED_VALUE"""),0)</f>
        <v>0</v>
      </c>
      <c r="E307" s="46">
        <f ca="1">IFERROR(__xludf.DUMMYFUNCTION("""COMPUTED_VALUE"""),0)</f>
        <v>0</v>
      </c>
      <c r="F307" s="46">
        <f ca="1">IFERROR(__xludf.DUMMYFUNCTION("""COMPUTED_VALUE"""),0)</f>
        <v>0</v>
      </c>
      <c r="G307" s="46">
        <f ca="1">IFERROR(__xludf.DUMMYFUNCTION("""COMPUTED_VALUE"""),0)</f>
        <v>0</v>
      </c>
      <c r="H307" s="46">
        <f ca="1">IFERROR(__xludf.DUMMYFUNCTION("""COMPUTED_VALUE"""),0)</f>
        <v>0</v>
      </c>
      <c r="I307" s="46">
        <f ca="1">IFERROR(__xludf.DUMMYFUNCTION("""COMPUTED_VALUE"""),0)</f>
        <v>0</v>
      </c>
      <c r="J307" s="46">
        <f ca="1">IFERROR(__xludf.DUMMYFUNCTION("""COMPUTED_VALUE"""),0)</f>
        <v>0</v>
      </c>
      <c r="K307" s="46">
        <f ca="1">IFERROR(__xludf.DUMMYFUNCTION("""COMPUTED_VALUE"""),0)</f>
        <v>0</v>
      </c>
      <c r="L307" s="46">
        <f ca="1">IFERROR(__xludf.DUMMYFUNCTION("""COMPUTED_VALUE"""),0)</f>
        <v>0</v>
      </c>
      <c r="M307" s="46">
        <f ca="1">IFERROR(__xludf.DUMMYFUNCTION("""COMPUTED_VALUE"""),0)</f>
        <v>0</v>
      </c>
      <c r="N307" s="46">
        <f ca="1">IFERROR(__xludf.DUMMYFUNCTION("""COMPUTED_VALUE"""),0)</f>
        <v>0</v>
      </c>
      <c r="O307" s="50">
        <f t="shared" ca="1" si="2"/>
        <v>0</v>
      </c>
    </row>
    <row r="308" spans="1:15" ht="12.75">
      <c r="A308" s="50" t="str">
        <f ca="1">IFERROR(__xludf.DUMMYFUNCTION("""COMPUTED_VALUE"""),"")</f>
        <v/>
      </c>
      <c r="B308" s="77"/>
      <c r="C308" s="48"/>
      <c r="D308" s="46">
        <f ca="1">IFERROR(__xludf.DUMMYFUNCTION("""COMPUTED_VALUE"""),0)</f>
        <v>0</v>
      </c>
      <c r="E308" s="46">
        <f ca="1">IFERROR(__xludf.DUMMYFUNCTION("""COMPUTED_VALUE"""),0)</f>
        <v>0</v>
      </c>
      <c r="F308" s="46">
        <f ca="1">IFERROR(__xludf.DUMMYFUNCTION("""COMPUTED_VALUE"""),0)</f>
        <v>0</v>
      </c>
      <c r="G308" s="46">
        <f ca="1">IFERROR(__xludf.DUMMYFUNCTION("""COMPUTED_VALUE"""),0)</f>
        <v>0</v>
      </c>
      <c r="H308" s="46">
        <f ca="1">IFERROR(__xludf.DUMMYFUNCTION("""COMPUTED_VALUE"""),0)</f>
        <v>0</v>
      </c>
      <c r="I308" s="46">
        <f ca="1">IFERROR(__xludf.DUMMYFUNCTION("""COMPUTED_VALUE"""),0)</f>
        <v>0</v>
      </c>
      <c r="J308" s="46">
        <f ca="1">IFERROR(__xludf.DUMMYFUNCTION("""COMPUTED_VALUE"""),0)</f>
        <v>0</v>
      </c>
      <c r="K308" s="46">
        <f ca="1">IFERROR(__xludf.DUMMYFUNCTION("""COMPUTED_VALUE"""),0)</f>
        <v>0</v>
      </c>
      <c r="L308" s="46">
        <f ca="1">IFERROR(__xludf.DUMMYFUNCTION("""COMPUTED_VALUE"""),0)</f>
        <v>0</v>
      </c>
      <c r="M308" s="46">
        <f ca="1">IFERROR(__xludf.DUMMYFUNCTION("""COMPUTED_VALUE"""),0)</f>
        <v>0</v>
      </c>
      <c r="N308" s="46">
        <f ca="1">IFERROR(__xludf.DUMMYFUNCTION("""COMPUTED_VALUE"""),0)</f>
        <v>0</v>
      </c>
      <c r="O308" s="50">
        <f t="shared" ca="1" si="2"/>
        <v>0</v>
      </c>
    </row>
    <row r="309" spans="1:15" ht="12.75">
      <c r="A309" s="50" t="str">
        <f ca="1">IFERROR(__xludf.DUMMYFUNCTION("""COMPUTED_VALUE"""),"")</f>
        <v/>
      </c>
      <c r="B309" s="77"/>
      <c r="C309" s="48"/>
      <c r="D309" s="46">
        <f ca="1">IFERROR(__xludf.DUMMYFUNCTION("""COMPUTED_VALUE"""),0)</f>
        <v>0</v>
      </c>
      <c r="E309" s="46">
        <f ca="1">IFERROR(__xludf.DUMMYFUNCTION("""COMPUTED_VALUE"""),0)</f>
        <v>0</v>
      </c>
      <c r="F309" s="46">
        <f ca="1">IFERROR(__xludf.DUMMYFUNCTION("""COMPUTED_VALUE"""),0)</f>
        <v>0</v>
      </c>
      <c r="G309" s="46">
        <f ca="1">IFERROR(__xludf.DUMMYFUNCTION("""COMPUTED_VALUE"""),0)</f>
        <v>0</v>
      </c>
      <c r="H309" s="46">
        <f ca="1">IFERROR(__xludf.DUMMYFUNCTION("""COMPUTED_VALUE"""),0)</f>
        <v>0</v>
      </c>
      <c r="I309" s="46">
        <f ca="1">IFERROR(__xludf.DUMMYFUNCTION("""COMPUTED_VALUE"""),0)</f>
        <v>0</v>
      </c>
      <c r="J309" s="46">
        <f ca="1">IFERROR(__xludf.DUMMYFUNCTION("""COMPUTED_VALUE"""),0)</f>
        <v>0</v>
      </c>
      <c r="K309" s="46">
        <f ca="1">IFERROR(__xludf.DUMMYFUNCTION("""COMPUTED_VALUE"""),0)</f>
        <v>0</v>
      </c>
      <c r="L309" s="46">
        <f ca="1">IFERROR(__xludf.DUMMYFUNCTION("""COMPUTED_VALUE"""),0)</f>
        <v>0</v>
      </c>
      <c r="M309" s="46">
        <f ca="1">IFERROR(__xludf.DUMMYFUNCTION("""COMPUTED_VALUE"""),0)</f>
        <v>0</v>
      </c>
      <c r="N309" s="46">
        <f ca="1">IFERROR(__xludf.DUMMYFUNCTION("""COMPUTED_VALUE"""),0)</f>
        <v>0</v>
      </c>
      <c r="O309" s="50">
        <f t="shared" ca="1" si="2"/>
        <v>0</v>
      </c>
    </row>
    <row r="310" spans="1:15" ht="12.75">
      <c r="A310" s="50" t="str">
        <f ca="1">IFERROR(__xludf.DUMMYFUNCTION("""COMPUTED_VALUE"""),"")</f>
        <v/>
      </c>
      <c r="B310" s="77"/>
      <c r="C310" s="48"/>
      <c r="D310" s="46">
        <f ca="1">IFERROR(__xludf.DUMMYFUNCTION("""COMPUTED_VALUE"""),0)</f>
        <v>0</v>
      </c>
      <c r="E310" s="46">
        <f ca="1">IFERROR(__xludf.DUMMYFUNCTION("""COMPUTED_VALUE"""),0)</f>
        <v>0</v>
      </c>
      <c r="F310" s="46">
        <f ca="1">IFERROR(__xludf.DUMMYFUNCTION("""COMPUTED_VALUE"""),0)</f>
        <v>0</v>
      </c>
      <c r="G310" s="46">
        <f ca="1">IFERROR(__xludf.DUMMYFUNCTION("""COMPUTED_VALUE"""),0)</f>
        <v>0</v>
      </c>
      <c r="H310" s="46">
        <f ca="1">IFERROR(__xludf.DUMMYFUNCTION("""COMPUTED_VALUE"""),0)</f>
        <v>0</v>
      </c>
      <c r="I310" s="46">
        <f ca="1">IFERROR(__xludf.DUMMYFUNCTION("""COMPUTED_VALUE"""),0)</f>
        <v>0</v>
      </c>
      <c r="J310" s="46">
        <f ca="1">IFERROR(__xludf.DUMMYFUNCTION("""COMPUTED_VALUE"""),0)</f>
        <v>0</v>
      </c>
      <c r="K310" s="46">
        <f ca="1">IFERROR(__xludf.DUMMYFUNCTION("""COMPUTED_VALUE"""),0)</f>
        <v>0</v>
      </c>
      <c r="L310" s="46">
        <f ca="1">IFERROR(__xludf.DUMMYFUNCTION("""COMPUTED_VALUE"""),0)</f>
        <v>0</v>
      </c>
      <c r="M310" s="46">
        <f ca="1">IFERROR(__xludf.DUMMYFUNCTION("""COMPUTED_VALUE"""),0)</f>
        <v>0</v>
      </c>
      <c r="N310" s="46">
        <f ca="1">IFERROR(__xludf.DUMMYFUNCTION("""COMPUTED_VALUE"""),0)</f>
        <v>0</v>
      </c>
      <c r="O310" s="50">
        <f t="shared" ca="1" si="2"/>
        <v>0</v>
      </c>
    </row>
    <row r="311" spans="1:15" ht="12.75">
      <c r="A311" s="50" t="str">
        <f ca="1">IFERROR(__xludf.DUMMYFUNCTION("""COMPUTED_VALUE"""),"")</f>
        <v/>
      </c>
      <c r="B311" s="77"/>
      <c r="C311" s="48"/>
      <c r="D311" s="46">
        <f ca="1">IFERROR(__xludf.DUMMYFUNCTION("""COMPUTED_VALUE"""),0)</f>
        <v>0</v>
      </c>
      <c r="E311" s="46">
        <f ca="1">IFERROR(__xludf.DUMMYFUNCTION("""COMPUTED_VALUE"""),0)</f>
        <v>0</v>
      </c>
      <c r="F311" s="46">
        <f ca="1">IFERROR(__xludf.DUMMYFUNCTION("""COMPUTED_VALUE"""),0)</f>
        <v>0</v>
      </c>
      <c r="G311" s="46">
        <f ca="1">IFERROR(__xludf.DUMMYFUNCTION("""COMPUTED_VALUE"""),0)</f>
        <v>0</v>
      </c>
      <c r="H311" s="46">
        <f ca="1">IFERROR(__xludf.DUMMYFUNCTION("""COMPUTED_VALUE"""),0)</f>
        <v>0</v>
      </c>
      <c r="I311" s="46">
        <f ca="1">IFERROR(__xludf.DUMMYFUNCTION("""COMPUTED_VALUE"""),0)</f>
        <v>0</v>
      </c>
      <c r="J311" s="46">
        <f ca="1">IFERROR(__xludf.DUMMYFUNCTION("""COMPUTED_VALUE"""),0)</f>
        <v>0</v>
      </c>
      <c r="K311" s="46">
        <f ca="1">IFERROR(__xludf.DUMMYFUNCTION("""COMPUTED_VALUE"""),0)</f>
        <v>0</v>
      </c>
      <c r="L311" s="46">
        <f ca="1">IFERROR(__xludf.DUMMYFUNCTION("""COMPUTED_VALUE"""),0)</f>
        <v>0</v>
      </c>
      <c r="M311" s="46">
        <f ca="1">IFERROR(__xludf.DUMMYFUNCTION("""COMPUTED_VALUE"""),0)</f>
        <v>0</v>
      </c>
      <c r="N311" s="46">
        <f ca="1">IFERROR(__xludf.DUMMYFUNCTION("""COMPUTED_VALUE"""),0)</f>
        <v>0</v>
      </c>
      <c r="O311" s="50">
        <f t="shared" ca="1" si="2"/>
        <v>0</v>
      </c>
    </row>
    <row r="312" spans="1:15" ht="12.75">
      <c r="A312" s="50" t="str">
        <f ca="1">IFERROR(__xludf.DUMMYFUNCTION("""COMPUTED_VALUE"""),"")</f>
        <v/>
      </c>
      <c r="B312" s="77"/>
      <c r="C312" s="48"/>
      <c r="D312" s="46">
        <f ca="1">IFERROR(__xludf.DUMMYFUNCTION("""COMPUTED_VALUE"""),0)</f>
        <v>0</v>
      </c>
      <c r="E312" s="46">
        <f ca="1">IFERROR(__xludf.DUMMYFUNCTION("""COMPUTED_VALUE"""),0)</f>
        <v>0</v>
      </c>
      <c r="F312" s="46">
        <f ca="1">IFERROR(__xludf.DUMMYFUNCTION("""COMPUTED_VALUE"""),0)</f>
        <v>0</v>
      </c>
      <c r="G312" s="46">
        <f ca="1">IFERROR(__xludf.DUMMYFUNCTION("""COMPUTED_VALUE"""),0)</f>
        <v>0</v>
      </c>
      <c r="H312" s="46">
        <f ca="1">IFERROR(__xludf.DUMMYFUNCTION("""COMPUTED_VALUE"""),0)</f>
        <v>0</v>
      </c>
      <c r="I312" s="46">
        <f ca="1">IFERROR(__xludf.DUMMYFUNCTION("""COMPUTED_VALUE"""),0)</f>
        <v>0</v>
      </c>
      <c r="J312" s="46">
        <f ca="1">IFERROR(__xludf.DUMMYFUNCTION("""COMPUTED_VALUE"""),0)</f>
        <v>0</v>
      </c>
      <c r="K312" s="46">
        <f ca="1">IFERROR(__xludf.DUMMYFUNCTION("""COMPUTED_VALUE"""),0)</f>
        <v>0</v>
      </c>
      <c r="L312" s="46">
        <f ca="1">IFERROR(__xludf.DUMMYFUNCTION("""COMPUTED_VALUE"""),0)</f>
        <v>0</v>
      </c>
      <c r="M312" s="46">
        <f ca="1">IFERROR(__xludf.DUMMYFUNCTION("""COMPUTED_VALUE"""),0)</f>
        <v>0</v>
      </c>
      <c r="N312" s="46">
        <f ca="1">IFERROR(__xludf.DUMMYFUNCTION("""COMPUTED_VALUE"""),0)</f>
        <v>0</v>
      </c>
      <c r="O312" s="50">
        <f t="shared" ca="1" si="2"/>
        <v>0</v>
      </c>
    </row>
    <row r="313" spans="1:15" ht="12.75">
      <c r="A313" s="50" t="str">
        <f ca="1">IFERROR(__xludf.DUMMYFUNCTION("""COMPUTED_VALUE"""),"")</f>
        <v/>
      </c>
      <c r="B313" s="77"/>
      <c r="C313" s="48"/>
      <c r="D313" s="46">
        <f ca="1">IFERROR(__xludf.DUMMYFUNCTION("""COMPUTED_VALUE"""),0)</f>
        <v>0</v>
      </c>
      <c r="E313" s="46">
        <f ca="1">IFERROR(__xludf.DUMMYFUNCTION("""COMPUTED_VALUE"""),0)</f>
        <v>0</v>
      </c>
      <c r="F313" s="46">
        <f ca="1">IFERROR(__xludf.DUMMYFUNCTION("""COMPUTED_VALUE"""),0)</f>
        <v>0</v>
      </c>
      <c r="G313" s="46">
        <f ca="1">IFERROR(__xludf.DUMMYFUNCTION("""COMPUTED_VALUE"""),0)</f>
        <v>0</v>
      </c>
      <c r="H313" s="46">
        <f ca="1">IFERROR(__xludf.DUMMYFUNCTION("""COMPUTED_VALUE"""),0)</f>
        <v>0</v>
      </c>
      <c r="I313" s="46">
        <f ca="1">IFERROR(__xludf.DUMMYFUNCTION("""COMPUTED_VALUE"""),0)</f>
        <v>0</v>
      </c>
      <c r="J313" s="46">
        <f ca="1">IFERROR(__xludf.DUMMYFUNCTION("""COMPUTED_VALUE"""),0)</f>
        <v>0</v>
      </c>
      <c r="K313" s="46">
        <f ca="1">IFERROR(__xludf.DUMMYFUNCTION("""COMPUTED_VALUE"""),0)</f>
        <v>0</v>
      </c>
      <c r="L313" s="46">
        <f ca="1">IFERROR(__xludf.DUMMYFUNCTION("""COMPUTED_VALUE"""),0)</f>
        <v>0</v>
      </c>
      <c r="M313" s="46">
        <f ca="1">IFERROR(__xludf.DUMMYFUNCTION("""COMPUTED_VALUE"""),0)</f>
        <v>0</v>
      </c>
      <c r="N313" s="46">
        <f ca="1">IFERROR(__xludf.DUMMYFUNCTION("""COMPUTED_VALUE"""),0)</f>
        <v>0</v>
      </c>
      <c r="O313" s="50">
        <f t="shared" ca="1" si="2"/>
        <v>0</v>
      </c>
    </row>
    <row r="314" spans="1:15" ht="12.75">
      <c r="A314" s="50"/>
      <c r="B314" s="77"/>
      <c r="C314" s="48"/>
      <c r="D314" s="46"/>
      <c r="E314" s="46"/>
      <c r="F314" s="46"/>
      <c r="G314" s="46"/>
      <c r="H314" s="46"/>
      <c r="I314" s="46"/>
      <c r="J314" s="46"/>
      <c r="K314" s="46"/>
      <c r="L314" s="46"/>
      <c r="M314" s="46"/>
      <c r="N314" s="46"/>
      <c r="O314" s="50">
        <f t="shared" si="2"/>
        <v>0</v>
      </c>
    </row>
    <row r="315" spans="1:15" ht="12.75">
      <c r="A315" s="50"/>
      <c r="B315" s="77"/>
      <c r="C315" s="48"/>
      <c r="D315" s="46"/>
      <c r="E315" s="46"/>
      <c r="F315" s="46"/>
      <c r="G315" s="46"/>
      <c r="H315" s="46"/>
      <c r="I315" s="46"/>
      <c r="J315" s="46"/>
      <c r="K315" s="46"/>
      <c r="L315" s="46"/>
      <c r="M315" s="46"/>
      <c r="N315" s="46"/>
      <c r="O315" s="50">
        <f t="shared" si="2"/>
        <v>0</v>
      </c>
    </row>
    <row r="316" spans="1:15" ht="12.75">
      <c r="A316" s="50"/>
      <c r="B316" s="77"/>
      <c r="C316" s="48"/>
      <c r="D316" s="46"/>
      <c r="E316" s="46"/>
      <c r="F316" s="46"/>
      <c r="G316" s="46"/>
      <c r="H316" s="46"/>
      <c r="I316" s="46"/>
      <c r="J316" s="46"/>
      <c r="K316" s="46"/>
      <c r="L316" s="46"/>
      <c r="M316" s="46"/>
      <c r="N316" s="46"/>
      <c r="O316" s="50">
        <f t="shared" si="2"/>
        <v>0</v>
      </c>
    </row>
    <row r="317" spans="1:15" ht="12.75">
      <c r="A317" s="50"/>
      <c r="B317" s="77"/>
      <c r="C317" s="48"/>
      <c r="D317" s="46"/>
      <c r="E317" s="46"/>
      <c r="F317" s="46"/>
      <c r="G317" s="46"/>
      <c r="H317" s="46"/>
      <c r="I317" s="46"/>
      <c r="J317" s="46"/>
      <c r="K317" s="46"/>
      <c r="L317" s="46"/>
      <c r="M317" s="46"/>
      <c r="N317" s="46"/>
      <c r="O317" s="50">
        <f t="shared" si="2"/>
        <v>0</v>
      </c>
    </row>
    <row r="318" spans="1:15" ht="12.75">
      <c r="A318" s="50"/>
      <c r="B318" s="77"/>
      <c r="C318" s="48"/>
      <c r="D318" s="46"/>
      <c r="E318" s="46"/>
      <c r="F318" s="46"/>
      <c r="G318" s="46"/>
      <c r="H318" s="46"/>
      <c r="I318" s="46"/>
      <c r="J318" s="46"/>
      <c r="K318" s="46"/>
      <c r="L318" s="46"/>
      <c r="M318" s="46"/>
      <c r="N318" s="46"/>
      <c r="O318" s="50">
        <f t="shared" si="2"/>
        <v>0</v>
      </c>
    </row>
    <row r="319" spans="1:15" ht="12.75">
      <c r="A319" s="50"/>
      <c r="B319" s="77"/>
      <c r="C319" s="48"/>
      <c r="D319" s="46"/>
      <c r="E319" s="46"/>
      <c r="F319" s="46"/>
      <c r="G319" s="46"/>
      <c r="H319" s="46"/>
      <c r="I319" s="46"/>
      <c r="J319" s="46"/>
      <c r="K319" s="46"/>
      <c r="L319" s="46"/>
      <c r="M319" s="46"/>
      <c r="N319" s="46"/>
      <c r="O319" s="50">
        <f t="shared" si="2"/>
        <v>0</v>
      </c>
    </row>
    <row r="320" spans="1:15" ht="12.75">
      <c r="A320" s="50"/>
      <c r="B320" s="77"/>
      <c r="C320" s="48"/>
      <c r="D320" s="46"/>
      <c r="E320" s="46"/>
      <c r="F320" s="46"/>
      <c r="G320" s="46"/>
      <c r="H320" s="46"/>
      <c r="I320" s="46"/>
      <c r="J320" s="46"/>
      <c r="K320" s="46"/>
      <c r="L320" s="46"/>
      <c r="M320" s="46"/>
      <c r="N320" s="46"/>
      <c r="O320" s="50">
        <f t="shared" si="2"/>
        <v>0</v>
      </c>
    </row>
    <row r="321" spans="1:15" ht="12.75">
      <c r="A321" s="50"/>
      <c r="B321" s="77"/>
      <c r="C321" s="48"/>
      <c r="D321" s="46"/>
      <c r="E321" s="46"/>
      <c r="F321" s="46"/>
      <c r="G321" s="46"/>
      <c r="H321" s="46"/>
      <c r="I321" s="46"/>
      <c r="J321" s="46"/>
      <c r="K321" s="46"/>
      <c r="L321" s="46"/>
      <c r="M321" s="46"/>
      <c r="N321" s="46"/>
      <c r="O321" s="50">
        <f t="shared" si="2"/>
        <v>0</v>
      </c>
    </row>
    <row r="322" spans="1:15" ht="12.75">
      <c r="A322" s="50"/>
      <c r="B322" s="77"/>
      <c r="C322" s="48"/>
      <c r="D322" s="46"/>
      <c r="E322" s="46"/>
      <c r="F322" s="46"/>
      <c r="G322" s="46"/>
      <c r="H322" s="46"/>
      <c r="I322" s="46"/>
      <c r="J322" s="46"/>
      <c r="K322" s="46"/>
      <c r="L322" s="46"/>
      <c r="M322" s="46"/>
      <c r="N322" s="46"/>
      <c r="O322" s="50">
        <f t="shared" si="2"/>
        <v>0</v>
      </c>
    </row>
    <row r="323" spans="1:15" ht="12.75">
      <c r="A323" s="50"/>
      <c r="B323" s="77"/>
      <c r="C323" s="48"/>
      <c r="D323" s="46"/>
      <c r="E323" s="46"/>
      <c r="F323" s="46"/>
      <c r="G323" s="46"/>
      <c r="H323" s="46"/>
      <c r="I323" s="46"/>
      <c r="J323" s="46"/>
      <c r="K323" s="46"/>
      <c r="L323" s="46"/>
      <c r="M323" s="46"/>
      <c r="N323" s="46"/>
      <c r="O323" s="50">
        <f t="shared" si="2"/>
        <v>0</v>
      </c>
    </row>
    <row r="324" spans="1:15" ht="12.75">
      <c r="A324" s="50"/>
      <c r="B324" s="77"/>
      <c r="C324" s="48"/>
      <c r="D324" s="46"/>
      <c r="E324" s="46"/>
      <c r="F324" s="46"/>
      <c r="G324" s="46"/>
      <c r="H324" s="46"/>
      <c r="I324" s="46"/>
      <c r="J324" s="46"/>
      <c r="K324" s="46"/>
      <c r="L324" s="46"/>
      <c r="M324" s="46"/>
      <c r="N324" s="46"/>
      <c r="O324" s="50">
        <f t="shared" si="2"/>
        <v>0</v>
      </c>
    </row>
    <row r="325" spans="1:15" ht="12.75">
      <c r="A325" s="50"/>
      <c r="B325" s="77"/>
      <c r="C325" s="48"/>
      <c r="D325" s="46"/>
      <c r="E325" s="46"/>
      <c r="F325" s="46"/>
      <c r="G325" s="46"/>
      <c r="H325" s="46"/>
      <c r="I325" s="46"/>
      <c r="J325" s="46"/>
      <c r="K325" s="46"/>
      <c r="L325" s="46"/>
      <c r="M325" s="46"/>
      <c r="N325" s="46"/>
      <c r="O325" s="50">
        <f t="shared" si="2"/>
        <v>0</v>
      </c>
    </row>
    <row r="326" spans="1:15" ht="12.75">
      <c r="A326" s="50"/>
      <c r="B326" s="77"/>
      <c r="C326" s="48"/>
      <c r="D326" s="46"/>
      <c r="E326" s="46"/>
      <c r="F326" s="46"/>
      <c r="G326" s="46"/>
      <c r="H326" s="46"/>
      <c r="I326" s="46"/>
      <c r="J326" s="46"/>
      <c r="K326" s="46"/>
      <c r="L326" s="46"/>
      <c r="M326" s="46"/>
      <c r="N326" s="46"/>
      <c r="O326" s="50">
        <f t="shared" si="2"/>
        <v>0</v>
      </c>
    </row>
    <row r="327" spans="1:15" ht="12.75">
      <c r="A327" s="50"/>
      <c r="B327" s="77"/>
      <c r="C327" s="48"/>
      <c r="D327" s="46"/>
      <c r="E327" s="46"/>
      <c r="F327" s="46"/>
      <c r="G327" s="46"/>
      <c r="H327" s="46"/>
      <c r="I327" s="46"/>
      <c r="J327" s="46"/>
      <c r="K327" s="46"/>
      <c r="L327" s="46"/>
      <c r="M327" s="46"/>
      <c r="N327" s="46"/>
      <c r="O327" s="50">
        <f t="shared" si="2"/>
        <v>0</v>
      </c>
    </row>
    <row r="328" spans="1:15" ht="12.75">
      <c r="A328" s="50"/>
      <c r="B328" s="77"/>
      <c r="C328" s="48"/>
      <c r="D328" s="46"/>
      <c r="E328" s="46"/>
      <c r="F328" s="46"/>
      <c r="G328" s="46"/>
      <c r="H328" s="46"/>
      <c r="I328" s="46"/>
      <c r="J328" s="46"/>
      <c r="K328" s="46"/>
      <c r="L328" s="46"/>
      <c r="M328" s="46"/>
      <c r="N328" s="46"/>
      <c r="O328" s="50">
        <f t="shared" si="2"/>
        <v>0</v>
      </c>
    </row>
    <row r="329" spans="1:15" ht="12.75">
      <c r="A329" s="50"/>
      <c r="B329" s="77"/>
      <c r="C329" s="48"/>
      <c r="D329" s="46"/>
      <c r="E329" s="46"/>
      <c r="F329" s="46"/>
      <c r="G329" s="46"/>
      <c r="H329" s="46"/>
      <c r="I329" s="46"/>
      <c r="J329" s="46"/>
      <c r="K329" s="46"/>
      <c r="L329" s="46"/>
      <c r="M329" s="46"/>
      <c r="N329" s="46"/>
      <c r="O329" s="50">
        <f t="shared" si="2"/>
        <v>0</v>
      </c>
    </row>
    <row r="330" spans="1:15" ht="12.75">
      <c r="A330" s="50"/>
      <c r="B330" s="77"/>
      <c r="C330" s="48"/>
      <c r="D330" s="46"/>
      <c r="E330" s="46"/>
      <c r="F330" s="46"/>
      <c r="G330" s="46"/>
      <c r="H330" s="46"/>
      <c r="I330" s="46"/>
      <c r="J330" s="46"/>
      <c r="K330" s="46"/>
      <c r="L330" s="46"/>
      <c r="M330" s="46"/>
      <c r="N330" s="46"/>
      <c r="O330" s="50">
        <f t="shared" si="2"/>
        <v>0</v>
      </c>
    </row>
    <row r="331" spans="1:15" ht="12.75">
      <c r="A331" s="50"/>
      <c r="B331" s="77"/>
      <c r="C331" s="48"/>
      <c r="D331" s="46"/>
      <c r="E331" s="46"/>
      <c r="F331" s="46"/>
      <c r="G331" s="46"/>
      <c r="H331" s="46"/>
      <c r="I331" s="46"/>
      <c r="J331" s="46"/>
      <c r="K331" s="46"/>
      <c r="L331" s="46"/>
      <c r="M331" s="46"/>
      <c r="N331" s="46"/>
      <c r="O331" s="50">
        <f t="shared" si="2"/>
        <v>0</v>
      </c>
    </row>
    <row r="332" spans="1:15" ht="12.75">
      <c r="A332" s="50"/>
      <c r="B332" s="77"/>
      <c r="C332" s="48"/>
      <c r="D332" s="46"/>
      <c r="E332" s="46"/>
      <c r="F332" s="46"/>
      <c r="G332" s="46"/>
      <c r="H332" s="46"/>
      <c r="I332" s="46"/>
      <c r="J332" s="46"/>
      <c r="K332" s="46"/>
      <c r="L332" s="46"/>
      <c r="M332" s="46"/>
      <c r="N332" s="46"/>
      <c r="O332" s="50">
        <f t="shared" si="2"/>
        <v>0</v>
      </c>
    </row>
    <row r="333" spans="1:15" ht="12.75">
      <c r="A333" s="50"/>
      <c r="B333" s="77"/>
      <c r="C333" s="48"/>
      <c r="D333" s="46"/>
      <c r="E333" s="46"/>
      <c r="F333" s="46"/>
      <c r="G333" s="46"/>
      <c r="H333" s="46"/>
      <c r="I333" s="46"/>
      <c r="J333" s="46"/>
      <c r="K333" s="46"/>
      <c r="L333" s="46"/>
      <c r="M333" s="46"/>
      <c r="N333" s="46"/>
      <c r="O333" s="50">
        <f t="shared" si="2"/>
        <v>0</v>
      </c>
    </row>
    <row r="334" spans="1:15" ht="12.75">
      <c r="A334" s="50"/>
      <c r="B334" s="77"/>
      <c r="C334" s="48"/>
      <c r="D334" s="46"/>
      <c r="E334" s="46"/>
      <c r="F334" s="46"/>
      <c r="G334" s="46"/>
      <c r="H334" s="46"/>
      <c r="I334" s="46"/>
      <c r="J334" s="46"/>
      <c r="K334" s="46"/>
      <c r="L334" s="46"/>
      <c r="M334" s="46"/>
      <c r="N334" s="46"/>
      <c r="O334" s="50">
        <f t="shared" si="2"/>
        <v>0</v>
      </c>
    </row>
    <row r="335" spans="1:15" ht="12.75">
      <c r="A335" s="50"/>
      <c r="B335" s="77"/>
      <c r="C335" s="48"/>
      <c r="D335" s="46"/>
      <c r="E335" s="46"/>
      <c r="F335" s="46"/>
      <c r="G335" s="46"/>
      <c r="H335" s="46"/>
      <c r="I335" s="46"/>
      <c r="J335" s="46"/>
      <c r="K335" s="46"/>
      <c r="L335" s="46"/>
      <c r="M335" s="46"/>
      <c r="N335" s="46"/>
      <c r="O335" s="50">
        <f t="shared" si="2"/>
        <v>0</v>
      </c>
    </row>
    <row r="336" spans="1:15" ht="12.75">
      <c r="A336" s="50"/>
      <c r="B336" s="77"/>
      <c r="C336" s="48"/>
      <c r="D336" s="46"/>
      <c r="E336" s="46"/>
      <c r="F336" s="46"/>
      <c r="G336" s="46"/>
      <c r="H336" s="46"/>
      <c r="I336" s="46"/>
      <c r="J336" s="46"/>
      <c r="K336" s="46"/>
      <c r="L336" s="46"/>
      <c r="M336" s="46"/>
      <c r="N336" s="46"/>
      <c r="O336" s="50">
        <f t="shared" si="2"/>
        <v>0</v>
      </c>
    </row>
    <row r="337" spans="1:15" ht="12.75">
      <c r="A337" s="50"/>
      <c r="B337" s="77"/>
      <c r="C337" s="48"/>
      <c r="D337" s="46"/>
      <c r="E337" s="46"/>
      <c r="F337" s="46"/>
      <c r="G337" s="46"/>
      <c r="H337" s="46"/>
      <c r="I337" s="46"/>
      <c r="J337" s="46"/>
      <c r="K337" s="46"/>
      <c r="L337" s="46"/>
      <c r="M337" s="46"/>
      <c r="N337" s="46"/>
      <c r="O337" s="50"/>
    </row>
    <row r="338" spans="1:15" ht="12.75">
      <c r="A338" s="50"/>
      <c r="B338" s="77"/>
      <c r="C338" s="48"/>
      <c r="D338" s="46"/>
      <c r="E338" s="46"/>
      <c r="F338" s="46"/>
      <c r="G338" s="46"/>
      <c r="H338" s="46"/>
      <c r="I338" s="46"/>
      <c r="J338" s="46"/>
      <c r="K338" s="46"/>
      <c r="L338" s="46"/>
      <c r="M338" s="46"/>
      <c r="N338" s="46"/>
      <c r="O338" s="50"/>
    </row>
    <row r="339" spans="1:15" ht="12.75">
      <c r="A339" s="50"/>
      <c r="B339" s="77"/>
      <c r="C339" s="48"/>
      <c r="D339" s="46"/>
      <c r="E339" s="46"/>
      <c r="F339" s="46"/>
      <c r="G339" s="46"/>
      <c r="H339" s="46"/>
      <c r="I339" s="46"/>
      <c r="J339" s="46"/>
      <c r="K339" s="46"/>
      <c r="L339" s="46"/>
      <c r="M339" s="46"/>
      <c r="N339" s="46"/>
      <c r="O339" s="50"/>
    </row>
    <row r="340" spans="1:15" ht="12.75">
      <c r="A340" s="50"/>
      <c r="B340" s="77"/>
      <c r="C340" s="48"/>
      <c r="D340" s="46"/>
      <c r="E340" s="46"/>
      <c r="F340" s="46"/>
      <c r="G340" s="46"/>
      <c r="H340" s="46"/>
      <c r="I340" s="46"/>
      <c r="J340" s="46"/>
      <c r="K340" s="46"/>
      <c r="L340" s="46"/>
      <c r="M340" s="46"/>
      <c r="N340" s="46"/>
      <c r="O340" s="50"/>
    </row>
    <row r="341" spans="1:15" ht="12.75">
      <c r="A341" s="50"/>
      <c r="B341" s="77"/>
      <c r="C341" s="48"/>
      <c r="D341" s="46"/>
      <c r="E341" s="46"/>
      <c r="F341" s="46"/>
      <c r="G341" s="46"/>
      <c r="H341" s="46"/>
      <c r="I341" s="46"/>
      <c r="J341" s="46"/>
      <c r="K341" s="46"/>
      <c r="L341" s="46"/>
      <c r="M341" s="46"/>
      <c r="N341" s="46"/>
      <c r="O341" s="50"/>
    </row>
    <row r="342" spans="1:15" ht="12.75">
      <c r="A342" s="50"/>
      <c r="B342" s="77"/>
      <c r="C342" s="48"/>
      <c r="D342" s="46"/>
      <c r="E342" s="46"/>
      <c r="F342" s="46"/>
      <c r="G342" s="46"/>
      <c r="H342" s="46"/>
      <c r="I342" s="46"/>
      <c r="J342" s="46"/>
      <c r="K342" s="46"/>
      <c r="L342" s="46"/>
      <c r="M342" s="46"/>
      <c r="N342" s="46"/>
      <c r="O342" s="50"/>
    </row>
    <row r="343" spans="1:15" ht="12.75">
      <c r="A343" s="50"/>
      <c r="B343" s="77"/>
      <c r="C343" s="48"/>
      <c r="D343" s="46"/>
      <c r="E343" s="46"/>
      <c r="F343" s="46"/>
      <c r="G343" s="46"/>
      <c r="H343" s="46"/>
      <c r="I343" s="46"/>
      <c r="J343" s="46"/>
      <c r="K343" s="46"/>
      <c r="L343" s="46"/>
      <c r="M343" s="46"/>
      <c r="N343" s="46"/>
      <c r="O343" s="50"/>
    </row>
    <row r="344" spans="1:15" ht="12.75">
      <c r="A344" s="50"/>
      <c r="B344" s="77"/>
      <c r="C344" s="48"/>
      <c r="D344" s="46"/>
      <c r="E344" s="46"/>
      <c r="F344" s="46"/>
      <c r="G344" s="46"/>
      <c r="H344" s="46"/>
      <c r="I344" s="46"/>
      <c r="J344" s="46"/>
      <c r="K344" s="46"/>
      <c r="L344" s="46"/>
      <c r="M344" s="46"/>
      <c r="N344" s="46"/>
      <c r="O344" s="50"/>
    </row>
    <row r="345" spans="1:15" ht="12.75">
      <c r="A345" s="50"/>
      <c r="B345" s="77"/>
      <c r="C345" s="48"/>
      <c r="D345" s="46"/>
      <c r="E345" s="46"/>
      <c r="F345" s="46"/>
      <c r="G345" s="46"/>
      <c r="H345" s="46"/>
      <c r="I345" s="46"/>
      <c r="J345" s="46"/>
      <c r="K345" s="46"/>
      <c r="L345" s="46"/>
      <c r="M345" s="46"/>
      <c r="N345" s="46"/>
      <c r="O345" s="50"/>
    </row>
    <row r="346" spans="1:15" ht="12.75">
      <c r="A346" s="50"/>
      <c r="B346" s="77"/>
      <c r="C346" s="48"/>
      <c r="D346" s="46"/>
      <c r="E346" s="46"/>
      <c r="F346" s="46"/>
      <c r="G346" s="46"/>
      <c r="H346" s="46"/>
      <c r="I346" s="46"/>
      <c r="J346" s="46"/>
      <c r="K346" s="46"/>
      <c r="L346" s="46"/>
      <c r="M346" s="46"/>
      <c r="N346" s="46"/>
      <c r="O346" s="50"/>
    </row>
    <row r="347" spans="1:15" ht="12.75">
      <c r="A347" s="38"/>
      <c r="B347" s="57"/>
    </row>
    <row r="348" spans="1:15" ht="12.75">
      <c r="A348" s="38"/>
      <c r="B348" s="57"/>
    </row>
    <row r="349" spans="1:15" ht="12.75">
      <c r="A349" s="38"/>
      <c r="B349" s="57"/>
    </row>
    <row r="350" spans="1:15" ht="12.75">
      <c r="A350" s="38"/>
      <c r="B350" s="57"/>
    </row>
    <row r="351" spans="1:15" ht="12.75">
      <c r="A351" s="38"/>
      <c r="B351" s="57"/>
    </row>
    <row r="352" spans="1:15" ht="12.75">
      <c r="A352" s="38"/>
      <c r="B352" s="57"/>
    </row>
    <row r="353" spans="1:2" ht="12.75">
      <c r="A353" s="38"/>
      <c r="B353" s="57"/>
    </row>
    <row r="354" spans="1:2" ht="12.75">
      <c r="A354" s="38"/>
      <c r="B354" s="57"/>
    </row>
    <row r="355" spans="1:2" ht="12.75">
      <c r="A355" s="38"/>
      <c r="B355" s="57"/>
    </row>
    <row r="356" spans="1:2" ht="12.75">
      <c r="A356" s="38"/>
      <c r="B356" s="57"/>
    </row>
    <row r="357" spans="1:2" ht="12.75">
      <c r="A357" s="38"/>
      <c r="B357" s="57"/>
    </row>
    <row r="358" spans="1:2" ht="12.75">
      <c r="A358" s="38"/>
      <c r="B358" s="57"/>
    </row>
    <row r="359" spans="1:2" ht="12.75">
      <c r="A359" s="38"/>
      <c r="B359" s="57"/>
    </row>
    <row r="360" spans="1:2" ht="12.75">
      <c r="A360" s="38"/>
      <c r="B360" s="57"/>
    </row>
    <row r="361" spans="1:2" ht="12.75">
      <c r="A361" s="38"/>
      <c r="B361" s="57"/>
    </row>
    <row r="362" spans="1:2" ht="12.75">
      <c r="A362" s="38"/>
      <c r="B362" s="57"/>
    </row>
    <row r="363" spans="1:2" ht="12.75">
      <c r="A363" s="38"/>
      <c r="B363" s="57"/>
    </row>
    <row r="364" spans="1:2" ht="12.75">
      <c r="A364" s="38"/>
      <c r="B364" s="57"/>
    </row>
    <row r="365" spans="1:2" ht="12.75">
      <c r="A365" s="38"/>
      <c r="B365" s="57"/>
    </row>
    <row r="366" spans="1:2" ht="12.75">
      <c r="A366" s="38"/>
      <c r="B366" s="57"/>
    </row>
    <row r="367" spans="1:2" ht="12.75">
      <c r="A367" s="38"/>
      <c r="B367" s="57"/>
    </row>
    <row r="368" spans="1:2" ht="12.75">
      <c r="A368" s="38"/>
      <c r="B368" s="57"/>
    </row>
    <row r="369" spans="1:2" ht="12.75">
      <c r="A369" s="38"/>
      <c r="B369" s="57"/>
    </row>
    <row r="370" spans="1:2" ht="12.75">
      <c r="A370" s="38"/>
      <c r="B370" s="57"/>
    </row>
    <row r="371" spans="1:2" ht="12.75">
      <c r="A371" s="38"/>
      <c r="B371" s="57"/>
    </row>
    <row r="372" spans="1:2" ht="12.75">
      <c r="A372" s="38"/>
      <c r="B372" s="57"/>
    </row>
    <row r="373" spans="1:2" ht="12.75">
      <c r="A373" s="38"/>
      <c r="B373" s="57"/>
    </row>
    <row r="374" spans="1:2" ht="12.75">
      <c r="A374" s="38"/>
      <c r="B374" s="57"/>
    </row>
    <row r="375" spans="1:2" ht="12.75">
      <c r="A375" s="38"/>
      <c r="B375" s="57"/>
    </row>
    <row r="376" spans="1:2" ht="12.75">
      <c r="A376" s="38"/>
      <c r="B376" s="57"/>
    </row>
    <row r="377" spans="1:2" ht="12.75">
      <c r="A377" s="38"/>
      <c r="B377" s="57"/>
    </row>
    <row r="378" spans="1:2" ht="12.75">
      <c r="A378" s="38"/>
      <c r="B378" s="57"/>
    </row>
    <row r="379" spans="1:2" ht="12.75">
      <c r="A379" s="38"/>
      <c r="B379" s="57"/>
    </row>
    <row r="380" spans="1:2" ht="12.75">
      <c r="A380" s="38"/>
      <c r="B380" s="57"/>
    </row>
    <row r="381" spans="1:2" ht="12.75">
      <c r="A381" s="38"/>
      <c r="B381" s="57"/>
    </row>
    <row r="382" spans="1:2" ht="12.75">
      <c r="A382" s="38"/>
      <c r="B382" s="57"/>
    </row>
    <row r="383" spans="1:2" ht="12.75">
      <c r="A383" s="38"/>
      <c r="B383" s="57"/>
    </row>
    <row r="384" spans="1:2" ht="12.75">
      <c r="A384" s="38"/>
      <c r="B384" s="57"/>
    </row>
    <row r="385" spans="1:2" ht="12.75">
      <c r="A385" s="38"/>
      <c r="B385" s="57"/>
    </row>
    <row r="386" spans="1:2" ht="12.75">
      <c r="A386" s="38"/>
      <c r="B386" s="57"/>
    </row>
    <row r="387" spans="1:2" ht="12.75">
      <c r="A387" s="38"/>
      <c r="B387" s="57"/>
    </row>
    <row r="388" spans="1:2" ht="12.75">
      <c r="A388" s="38"/>
      <c r="B388" s="57"/>
    </row>
    <row r="389" spans="1:2" ht="12.75">
      <c r="A389" s="38"/>
      <c r="B389" s="57"/>
    </row>
    <row r="390" spans="1:2" ht="12.75">
      <c r="A390" s="38"/>
      <c r="B390" s="57"/>
    </row>
    <row r="391" spans="1:2" ht="12.75">
      <c r="A391" s="38"/>
      <c r="B391" s="57"/>
    </row>
    <row r="392" spans="1:2" ht="12.75">
      <c r="A392" s="38"/>
      <c r="B392" s="57"/>
    </row>
    <row r="393" spans="1:2" ht="12.75">
      <c r="A393" s="38"/>
      <c r="B393" s="57"/>
    </row>
    <row r="394" spans="1:2" ht="12.75">
      <c r="A394" s="38"/>
      <c r="B394" s="57"/>
    </row>
    <row r="395" spans="1:2" ht="12.75">
      <c r="A395" s="38"/>
      <c r="B395" s="57"/>
    </row>
    <row r="396" spans="1:2" ht="12.75">
      <c r="A396" s="38"/>
      <c r="B396" s="57"/>
    </row>
    <row r="397" spans="1:2" ht="12.75">
      <c r="A397" s="38"/>
      <c r="B397" s="57"/>
    </row>
    <row r="398" spans="1:2" ht="12.75">
      <c r="A398" s="38"/>
      <c r="B398" s="57"/>
    </row>
    <row r="399" spans="1:2" ht="12.75">
      <c r="A399" s="38"/>
      <c r="B399" s="57"/>
    </row>
    <row r="400" spans="1:2" ht="12.75">
      <c r="A400" s="38"/>
      <c r="B400" s="57"/>
    </row>
    <row r="401" spans="1:2" ht="12.75">
      <c r="A401" s="38"/>
      <c r="B401" s="57"/>
    </row>
    <row r="402" spans="1:2" ht="12.75">
      <c r="A402" s="38"/>
      <c r="B402" s="57"/>
    </row>
    <row r="403" spans="1:2" ht="12.75">
      <c r="A403" s="38"/>
      <c r="B403" s="57"/>
    </row>
    <row r="404" spans="1:2" ht="12.75">
      <c r="A404" s="38"/>
      <c r="B404" s="57"/>
    </row>
    <row r="405" spans="1:2" ht="12.75">
      <c r="A405" s="38"/>
      <c r="B405" s="57"/>
    </row>
    <row r="406" spans="1:2" ht="12.75">
      <c r="A406" s="38"/>
      <c r="B406" s="57"/>
    </row>
    <row r="407" spans="1:2" ht="12.75">
      <c r="A407" s="38"/>
      <c r="B407" s="57"/>
    </row>
    <row r="408" spans="1:2" ht="12.75">
      <c r="A408" s="38"/>
      <c r="B408" s="57"/>
    </row>
    <row r="409" spans="1:2" ht="12.75">
      <c r="A409" s="38"/>
      <c r="B409" s="57"/>
    </row>
    <row r="410" spans="1:2" ht="12.75">
      <c r="A410" s="38"/>
      <c r="B410" s="57"/>
    </row>
    <row r="411" spans="1:2" ht="12.75">
      <c r="A411" s="38"/>
      <c r="B411" s="57"/>
    </row>
    <row r="412" spans="1:2" ht="12.75">
      <c r="A412" s="38"/>
      <c r="B412" s="57"/>
    </row>
    <row r="413" spans="1:2" ht="12.75">
      <c r="A413" s="38"/>
      <c r="B413" s="57"/>
    </row>
    <row r="414" spans="1:2" ht="12.75">
      <c r="A414" s="38"/>
      <c r="B414" s="57"/>
    </row>
    <row r="415" spans="1:2" ht="12.75">
      <c r="A415" s="38"/>
      <c r="B415" s="57"/>
    </row>
    <row r="416" spans="1:2" ht="12.75">
      <c r="A416" s="38"/>
      <c r="B416" s="57"/>
    </row>
    <row r="417" spans="1:2" ht="12.75">
      <c r="A417" s="38"/>
      <c r="B417" s="57"/>
    </row>
    <row r="418" spans="1:2" ht="12.75">
      <c r="A418" s="38"/>
      <c r="B418" s="57"/>
    </row>
    <row r="419" spans="1:2" ht="12.75">
      <c r="A419" s="38"/>
      <c r="B419" s="57"/>
    </row>
    <row r="420" spans="1:2" ht="12.75">
      <c r="A420" s="38"/>
      <c r="B420" s="57"/>
    </row>
    <row r="421" spans="1:2" ht="12.75">
      <c r="A421" s="38"/>
      <c r="B421" s="57"/>
    </row>
    <row r="422" spans="1:2" ht="12.75">
      <c r="A422" s="38"/>
      <c r="B422" s="57"/>
    </row>
    <row r="423" spans="1:2" ht="12.75">
      <c r="A423" s="38"/>
      <c r="B423" s="57"/>
    </row>
    <row r="424" spans="1:2" ht="12.75">
      <c r="A424" s="38"/>
      <c r="B424" s="57"/>
    </row>
    <row r="425" spans="1:2" ht="12.75">
      <c r="A425" s="38"/>
      <c r="B425" s="57"/>
    </row>
    <row r="426" spans="1:2" ht="12.75">
      <c r="A426" s="38"/>
      <c r="B426" s="57"/>
    </row>
    <row r="427" spans="1:2" ht="12.75">
      <c r="A427" s="38"/>
      <c r="B427" s="57"/>
    </row>
    <row r="428" spans="1:2" ht="12.75">
      <c r="A428" s="38"/>
      <c r="B428" s="57"/>
    </row>
    <row r="429" spans="1:2" ht="12.75">
      <c r="A429" s="38"/>
      <c r="B429" s="57"/>
    </row>
    <row r="430" spans="1:2" ht="12.75">
      <c r="A430" s="38"/>
      <c r="B430" s="57"/>
    </row>
    <row r="431" spans="1:2" ht="12.75">
      <c r="A431" s="38"/>
      <c r="B431" s="57"/>
    </row>
    <row r="432" spans="1:2" ht="12.75">
      <c r="A432" s="38"/>
      <c r="B432" s="57"/>
    </row>
    <row r="433" spans="1:2" ht="12.75">
      <c r="A433" s="38"/>
      <c r="B433" s="57"/>
    </row>
    <row r="434" spans="1:2" ht="12.75">
      <c r="A434" s="38"/>
      <c r="B434" s="57"/>
    </row>
    <row r="435" spans="1:2" ht="12.75">
      <c r="A435" s="38"/>
      <c r="B435" s="57"/>
    </row>
    <row r="436" spans="1:2" ht="12.75">
      <c r="A436" s="38"/>
      <c r="B436" s="57"/>
    </row>
    <row r="437" spans="1:2" ht="12.75">
      <c r="A437" s="38"/>
      <c r="B437" s="57"/>
    </row>
    <row r="438" spans="1:2" ht="12.75">
      <c r="A438" s="38"/>
      <c r="B438" s="57"/>
    </row>
    <row r="439" spans="1:2" ht="12.75">
      <c r="A439" s="38"/>
      <c r="B439" s="57"/>
    </row>
    <row r="440" spans="1:2" ht="12.75">
      <c r="A440" s="38"/>
      <c r="B440" s="57"/>
    </row>
    <row r="441" spans="1:2" ht="12.75">
      <c r="A441" s="38"/>
      <c r="B441" s="57"/>
    </row>
    <row r="442" spans="1:2" ht="12.75">
      <c r="A442" s="38"/>
      <c r="B442" s="57"/>
    </row>
    <row r="443" spans="1:2" ht="12.75">
      <c r="A443" s="38"/>
      <c r="B443" s="57"/>
    </row>
    <row r="444" spans="1:2" ht="12.75">
      <c r="A444" s="38"/>
      <c r="B444" s="57"/>
    </row>
    <row r="445" spans="1:2" ht="12.75">
      <c r="A445" s="38"/>
      <c r="B445" s="57"/>
    </row>
    <row r="446" spans="1:2" ht="12.75">
      <c r="A446" s="38"/>
      <c r="B446" s="57"/>
    </row>
    <row r="447" spans="1:2" ht="12.75">
      <c r="A447" s="38"/>
      <c r="B447" s="57"/>
    </row>
    <row r="448" spans="1:2" ht="12.75">
      <c r="A448" s="38"/>
      <c r="B448" s="57"/>
    </row>
    <row r="449" spans="1:2" ht="12.75">
      <c r="A449" s="38"/>
      <c r="B449" s="57"/>
    </row>
    <row r="450" spans="1:2" ht="12.75">
      <c r="A450" s="38"/>
      <c r="B450" s="57"/>
    </row>
    <row r="451" spans="1:2" ht="12.75">
      <c r="A451" s="38"/>
      <c r="B451" s="57"/>
    </row>
    <row r="452" spans="1:2" ht="12.75">
      <c r="A452" s="38"/>
      <c r="B452" s="57"/>
    </row>
    <row r="453" spans="1:2" ht="12.75">
      <c r="A453" s="38"/>
      <c r="B453" s="57"/>
    </row>
    <row r="454" spans="1:2" ht="12.75">
      <c r="A454" s="38"/>
      <c r="B454" s="57"/>
    </row>
    <row r="455" spans="1:2" ht="12.75">
      <c r="A455" s="38"/>
      <c r="B455" s="57"/>
    </row>
    <row r="456" spans="1:2" ht="12.75">
      <c r="A456" s="38"/>
      <c r="B456" s="57"/>
    </row>
    <row r="457" spans="1:2" ht="12.75">
      <c r="A457" s="38"/>
      <c r="B457" s="57"/>
    </row>
    <row r="458" spans="1:2" ht="12.75">
      <c r="A458" s="38"/>
      <c r="B458" s="57"/>
    </row>
    <row r="459" spans="1:2" ht="12.75">
      <c r="A459" s="38"/>
      <c r="B459" s="57"/>
    </row>
    <row r="460" spans="1:2" ht="12.75">
      <c r="A460" s="38"/>
      <c r="B460" s="57"/>
    </row>
    <row r="461" spans="1:2" ht="12.75">
      <c r="A461" s="38"/>
      <c r="B461" s="57"/>
    </row>
    <row r="462" spans="1:2" ht="12.75">
      <c r="A462" s="38"/>
      <c r="B462" s="57"/>
    </row>
    <row r="463" spans="1:2" ht="12.75">
      <c r="A463" s="38"/>
      <c r="B463" s="57"/>
    </row>
    <row r="464" spans="1:2" ht="12.75">
      <c r="A464" s="38"/>
      <c r="B464" s="57"/>
    </row>
    <row r="465" spans="1:2" ht="12.75">
      <c r="A465" s="38"/>
      <c r="B465" s="57"/>
    </row>
    <row r="466" spans="1:2" ht="12.75">
      <c r="A466" s="38"/>
      <c r="B466" s="57"/>
    </row>
    <row r="467" spans="1:2" ht="12.75">
      <c r="A467" s="38"/>
      <c r="B467" s="57"/>
    </row>
    <row r="468" spans="1:2" ht="12.75">
      <c r="A468" s="38"/>
      <c r="B468" s="57"/>
    </row>
    <row r="469" spans="1:2" ht="12.75">
      <c r="A469" s="38"/>
      <c r="B469" s="57"/>
    </row>
    <row r="470" spans="1:2" ht="12.75">
      <c r="A470" s="38"/>
      <c r="B470" s="57"/>
    </row>
    <row r="471" spans="1:2" ht="12.75">
      <c r="A471" s="38"/>
      <c r="B471" s="57"/>
    </row>
    <row r="472" spans="1:2" ht="12.75">
      <c r="A472" s="38"/>
      <c r="B472" s="57"/>
    </row>
    <row r="473" spans="1:2" ht="12.75">
      <c r="A473" s="38"/>
      <c r="B473" s="57"/>
    </row>
    <row r="474" spans="1:2" ht="12.75">
      <c r="A474" s="38"/>
      <c r="B474" s="57"/>
    </row>
    <row r="475" spans="1:2" ht="12.75">
      <c r="A475" s="38"/>
      <c r="B475" s="57"/>
    </row>
    <row r="476" spans="1:2" ht="12.75">
      <c r="A476" s="38"/>
      <c r="B476" s="57"/>
    </row>
    <row r="477" spans="1:2" ht="12.75">
      <c r="A477" s="38"/>
      <c r="B477" s="57"/>
    </row>
    <row r="478" spans="1:2" ht="12.75">
      <c r="A478" s="38"/>
      <c r="B478" s="57"/>
    </row>
    <row r="479" spans="1:2" ht="12.75">
      <c r="A479" s="38"/>
      <c r="B479" s="57"/>
    </row>
    <row r="480" spans="1:2" ht="12.75">
      <c r="A480" s="38"/>
      <c r="B480" s="57"/>
    </row>
    <row r="481" spans="1:2" ht="12.75">
      <c r="A481" s="38"/>
      <c r="B481" s="57"/>
    </row>
    <row r="482" spans="1:2" ht="12.75">
      <c r="A482" s="38"/>
      <c r="B482" s="57"/>
    </row>
    <row r="483" spans="1:2" ht="12.75">
      <c r="A483" s="38"/>
      <c r="B483" s="57"/>
    </row>
    <row r="484" spans="1:2" ht="12.75">
      <c r="A484" s="38"/>
      <c r="B484" s="57"/>
    </row>
    <row r="485" spans="1:2" ht="12.75">
      <c r="A485" s="38"/>
      <c r="B485" s="57"/>
    </row>
    <row r="486" spans="1:2" ht="12.75">
      <c r="A486" s="38"/>
      <c r="B486" s="57"/>
    </row>
    <row r="487" spans="1:2" ht="12.75">
      <c r="A487" s="38"/>
      <c r="B487" s="57"/>
    </row>
    <row r="488" spans="1:2" ht="12.75">
      <c r="A488" s="38"/>
      <c r="B488" s="57"/>
    </row>
    <row r="489" spans="1:2" ht="12.75">
      <c r="A489" s="38"/>
      <c r="B489" s="57"/>
    </row>
    <row r="490" spans="1:2" ht="12.75">
      <c r="A490" s="38"/>
      <c r="B490" s="57"/>
    </row>
    <row r="491" spans="1:2" ht="12.75">
      <c r="A491" s="38"/>
      <c r="B491" s="57"/>
    </row>
    <row r="492" spans="1:2" ht="12.75">
      <c r="A492" s="38"/>
      <c r="B492" s="57"/>
    </row>
    <row r="493" spans="1:2" ht="12.75">
      <c r="A493" s="38"/>
      <c r="B493" s="57"/>
    </row>
    <row r="494" spans="1:2" ht="12.75">
      <c r="A494" s="38"/>
      <c r="B494" s="57"/>
    </row>
    <row r="495" spans="1:2" ht="12.75">
      <c r="A495" s="38"/>
      <c r="B495" s="57"/>
    </row>
    <row r="496" spans="1:2" ht="12.75">
      <c r="A496" s="38"/>
      <c r="B496" s="57"/>
    </row>
    <row r="497" spans="1:2" ht="12.75">
      <c r="A497" s="38"/>
      <c r="B497" s="57"/>
    </row>
    <row r="498" spans="1:2" ht="12.75">
      <c r="A498" s="38"/>
      <c r="B498" s="57"/>
    </row>
    <row r="499" spans="1:2" ht="12.75">
      <c r="A499" s="38"/>
      <c r="B499" s="57"/>
    </row>
    <row r="500" spans="1:2" ht="12.75">
      <c r="A500" s="38"/>
      <c r="B500" s="57"/>
    </row>
    <row r="501" spans="1:2" ht="12.75">
      <c r="A501" s="38"/>
      <c r="B501" s="57"/>
    </row>
    <row r="502" spans="1:2" ht="12.75">
      <c r="A502" s="38"/>
      <c r="B502" s="57"/>
    </row>
    <row r="503" spans="1:2" ht="12.75">
      <c r="A503" s="38"/>
      <c r="B503" s="57"/>
    </row>
    <row r="504" spans="1:2" ht="12.75">
      <c r="A504" s="38"/>
      <c r="B504" s="57"/>
    </row>
    <row r="505" spans="1:2" ht="12.75">
      <c r="A505" s="38"/>
      <c r="B505" s="57"/>
    </row>
    <row r="506" spans="1:2" ht="12.75">
      <c r="A506" s="38"/>
      <c r="B506" s="57"/>
    </row>
    <row r="507" spans="1:2" ht="12.75">
      <c r="A507" s="38"/>
      <c r="B507" s="57"/>
    </row>
    <row r="508" spans="1:2" ht="12.75">
      <c r="A508" s="38"/>
      <c r="B508" s="57"/>
    </row>
    <row r="509" spans="1:2" ht="12.75">
      <c r="A509" s="38"/>
      <c r="B509" s="57"/>
    </row>
    <row r="510" spans="1:2" ht="12.75">
      <c r="A510" s="38"/>
      <c r="B510" s="57"/>
    </row>
    <row r="511" spans="1:2" ht="12.75">
      <c r="A511" s="38"/>
      <c r="B511" s="57"/>
    </row>
    <row r="512" spans="1:2" ht="12.75">
      <c r="A512" s="38"/>
      <c r="B512" s="57"/>
    </row>
    <row r="513" spans="1:2" ht="12.75">
      <c r="A513" s="38"/>
      <c r="B513" s="57"/>
    </row>
    <row r="514" spans="1:2" ht="12.75">
      <c r="A514" s="38"/>
      <c r="B514" s="57"/>
    </row>
    <row r="515" spans="1:2" ht="12.75">
      <c r="A515" s="38"/>
      <c r="B515" s="57"/>
    </row>
    <row r="516" spans="1:2" ht="12.75">
      <c r="A516" s="38"/>
      <c r="B516" s="57"/>
    </row>
    <row r="517" spans="1:2" ht="12.75">
      <c r="A517" s="38"/>
      <c r="B517" s="57"/>
    </row>
    <row r="518" spans="1:2" ht="12.75">
      <c r="A518" s="38"/>
      <c r="B518" s="57"/>
    </row>
    <row r="519" spans="1:2" ht="12.75">
      <c r="A519" s="38"/>
      <c r="B519" s="57"/>
    </row>
    <row r="520" spans="1:2" ht="12.75">
      <c r="A520" s="38"/>
      <c r="B520" s="57"/>
    </row>
    <row r="521" spans="1:2" ht="12.75">
      <c r="A521" s="38"/>
      <c r="B521" s="57"/>
    </row>
    <row r="522" spans="1:2" ht="12.75">
      <c r="A522" s="38"/>
      <c r="B522" s="57"/>
    </row>
    <row r="523" spans="1:2" ht="12.75">
      <c r="A523" s="38"/>
      <c r="B523" s="57"/>
    </row>
    <row r="524" spans="1:2" ht="12.75">
      <c r="A524" s="38"/>
      <c r="B524" s="57"/>
    </row>
    <row r="525" spans="1:2" ht="12.75">
      <c r="A525" s="38"/>
      <c r="B525" s="57"/>
    </row>
    <row r="526" spans="1:2" ht="12.75">
      <c r="A526" s="38"/>
      <c r="B526" s="57"/>
    </row>
    <row r="527" spans="1:2" ht="12.75">
      <c r="A527" s="38"/>
      <c r="B527" s="57"/>
    </row>
    <row r="528" spans="1:2" ht="12.75">
      <c r="A528" s="38"/>
      <c r="B528" s="57"/>
    </row>
    <row r="529" spans="1:2" ht="12.75">
      <c r="A529" s="38"/>
      <c r="B529" s="57"/>
    </row>
    <row r="530" spans="1:2" ht="12.75">
      <c r="A530" s="38"/>
      <c r="B530" s="57"/>
    </row>
    <row r="531" spans="1:2" ht="12.75">
      <c r="A531" s="38"/>
      <c r="B531" s="57"/>
    </row>
    <row r="532" spans="1:2" ht="12.75">
      <c r="A532" s="38"/>
      <c r="B532" s="57"/>
    </row>
    <row r="533" spans="1:2" ht="12.75">
      <c r="A533" s="38"/>
      <c r="B533" s="57"/>
    </row>
    <row r="534" spans="1:2" ht="12.75">
      <c r="A534" s="38"/>
      <c r="B534" s="57"/>
    </row>
    <row r="535" spans="1:2" ht="12.75">
      <c r="A535" s="38"/>
      <c r="B535" s="57"/>
    </row>
    <row r="536" spans="1:2" ht="12.75">
      <c r="A536" s="38"/>
      <c r="B536" s="57"/>
    </row>
    <row r="537" spans="1:2" ht="12.75">
      <c r="A537" s="38"/>
      <c r="B537" s="57"/>
    </row>
    <row r="538" spans="1:2" ht="12.75">
      <c r="A538" s="38"/>
      <c r="B538" s="57"/>
    </row>
    <row r="539" spans="1:2" ht="12.75">
      <c r="A539" s="38"/>
      <c r="B539" s="57"/>
    </row>
    <row r="540" spans="1:2" ht="12.75">
      <c r="A540" s="38"/>
      <c r="B540" s="57"/>
    </row>
    <row r="541" spans="1:2" ht="12.75">
      <c r="A541" s="38"/>
      <c r="B541" s="57"/>
    </row>
    <row r="542" spans="1:2" ht="12.75">
      <c r="A542" s="38"/>
      <c r="B542" s="57"/>
    </row>
    <row r="543" spans="1:2" ht="12.75">
      <c r="A543" s="38"/>
      <c r="B543" s="57"/>
    </row>
    <row r="544" spans="1:2" ht="12.75">
      <c r="A544" s="38"/>
      <c r="B544" s="57"/>
    </row>
    <row r="545" spans="1:2" ht="12.75">
      <c r="A545" s="38"/>
      <c r="B545" s="57"/>
    </row>
    <row r="546" spans="1:2" ht="12.75">
      <c r="A546" s="38"/>
      <c r="B546" s="57"/>
    </row>
    <row r="547" spans="1:2" ht="12.75">
      <c r="A547" s="38"/>
      <c r="B547" s="57"/>
    </row>
    <row r="548" spans="1:2" ht="12.75">
      <c r="A548" s="38"/>
      <c r="B548" s="57"/>
    </row>
    <row r="549" spans="1:2" ht="12.75">
      <c r="A549" s="38"/>
      <c r="B549" s="57"/>
    </row>
    <row r="550" spans="1:2" ht="12.75">
      <c r="A550" s="38"/>
      <c r="B550" s="57"/>
    </row>
    <row r="551" spans="1:2" ht="12.75">
      <c r="A551" s="38"/>
      <c r="B551" s="57"/>
    </row>
    <row r="552" spans="1:2" ht="12.75">
      <c r="A552" s="38"/>
      <c r="B552" s="57"/>
    </row>
    <row r="553" spans="1:2" ht="12.75">
      <c r="A553" s="38"/>
      <c r="B553" s="57"/>
    </row>
    <row r="554" spans="1:2" ht="12.75">
      <c r="A554" s="38"/>
      <c r="B554" s="57"/>
    </row>
    <row r="555" spans="1:2" ht="12.75">
      <c r="A555" s="38"/>
      <c r="B555" s="57"/>
    </row>
    <row r="556" spans="1:2" ht="12.75">
      <c r="A556" s="38"/>
      <c r="B556" s="57"/>
    </row>
    <row r="557" spans="1:2" ht="12.75">
      <c r="A557" s="38"/>
      <c r="B557" s="57"/>
    </row>
    <row r="558" spans="1:2" ht="12.75">
      <c r="A558" s="38"/>
      <c r="B558" s="57"/>
    </row>
    <row r="559" spans="1:2" ht="12.75">
      <c r="A559" s="38"/>
      <c r="B559" s="57"/>
    </row>
    <row r="560" spans="1:2" ht="12.75">
      <c r="A560" s="38"/>
      <c r="B560" s="57"/>
    </row>
    <row r="561" spans="1:2" ht="12.75">
      <c r="A561" s="38"/>
      <c r="B561" s="57"/>
    </row>
    <row r="562" spans="1:2" ht="12.75">
      <c r="A562" s="38"/>
      <c r="B562" s="57"/>
    </row>
    <row r="563" spans="1:2" ht="12.75">
      <c r="A563" s="38"/>
      <c r="B563" s="57"/>
    </row>
    <row r="564" spans="1:2" ht="12.75">
      <c r="A564" s="38"/>
      <c r="B564" s="57"/>
    </row>
    <row r="565" spans="1:2" ht="12.75">
      <c r="A565" s="38"/>
      <c r="B565" s="57"/>
    </row>
    <row r="566" spans="1:2" ht="12.75">
      <c r="A566" s="38"/>
      <c r="B566" s="57"/>
    </row>
    <row r="567" spans="1:2" ht="12.75">
      <c r="A567" s="38"/>
      <c r="B567" s="57"/>
    </row>
    <row r="568" spans="1:2" ht="12.75">
      <c r="A568" s="38"/>
      <c r="B568" s="57"/>
    </row>
    <row r="569" spans="1:2" ht="12.75">
      <c r="A569" s="38"/>
      <c r="B569" s="57"/>
    </row>
    <row r="570" spans="1:2" ht="12.75">
      <c r="A570" s="38"/>
      <c r="B570" s="57"/>
    </row>
    <row r="571" spans="1:2" ht="12.75">
      <c r="A571" s="38"/>
      <c r="B571" s="57"/>
    </row>
    <row r="572" spans="1:2" ht="12.75">
      <c r="A572" s="38"/>
      <c r="B572" s="57"/>
    </row>
    <row r="573" spans="1:2" ht="12.75">
      <c r="A573" s="38"/>
      <c r="B573" s="57"/>
    </row>
    <row r="574" spans="1:2" ht="12.75">
      <c r="A574" s="38"/>
      <c r="B574" s="57"/>
    </row>
    <row r="575" spans="1:2" ht="12.75">
      <c r="A575" s="38"/>
      <c r="B575" s="57"/>
    </row>
    <row r="576" spans="1:2" ht="12.75">
      <c r="A576" s="38"/>
      <c r="B576" s="57"/>
    </row>
    <row r="577" spans="1:2" ht="12.75">
      <c r="A577" s="38"/>
      <c r="B577" s="57"/>
    </row>
    <row r="578" spans="1:2" ht="12.75">
      <c r="A578" s="38"/>
      <c r="B578" s="57"/>
    </row>
    <row r="579" spans="1:2" ht="12.75">
      <c r="A579" s="38"/>
      <c r="B579" s="57"/>
    </row>
    <row r="580" spans="1:2" ht="12.75">
      <c r="A580" s="38"/>
      <c r="B580" s="57"/>
    </row>
    <row r="581" spans="1:2" ht="12.75">
      <c r="A581" s="38"/>
      <c r="B581" s="57"/>
    </row>
    <row r="582" spans="1:2" ht="12.75">
      <c r="A582" s="38"/>
      <c r="B582" s="57"/>
    </row>
    <row r="583" spans="1:2" ht="12.75">
      <c r="A583" s="38"/>
      <c r="B583" s="57"/>
    </row>
    <row r="584" spans="1:2" ht="12.75">
      <c r="A584" s="38"/>
      <c r="B584" s="57"/>
    </row>
    <row r="585" spans="1:2" ht="12.75">
      <c r="A585" s="38"/>
      <c r="B585" s="57"/>
    </row>
    <row r="586" spans="1:2" ht="12.75">
      <c r="A586" s="38"/>
      <c r="B586" s="57"/>
    </row>
    <row r="587" spans="1:2" ht="12.75">
      <c r="A587" s="38"/>
      <c r="B587" s="57"/>
    </row>
    <row r="588" spans="1:2" ht="12.75">
      <c r="A588" s="38"/>
      <c r="B588" s="57"/>
    </row>
    <row r="589" spans="1:2" ht="12.75">
      <c r="A589" s="38"/>
      <c r="B589" s="57"/>
    </row>
    <row r="590" spans="1:2" ht="12.75">
      <c r="A590" s="38"/>
      <c r="B590" s="57"/>
    </row>
    <row r="591" spans="1:2" ht="12.75">
      <c r="A591" s="38"/>
      <c r="B591" s="57"/>
    </row>
    <row r="592" spans="1:2" ht="12.75">
      <c r="A592" s="38"/>
      <c r="B592" s="57"/>
    </row>
    <row r="593" spans="1:2" ht="12.75">
      <c r="A593" s="38"/>
      <c r="B593" s="57"/>
    </row>
    <row r="594" spans="1:2" ht="12.75">
      <c r="A594" s="38"/>
      <c r="B594" s="57"/>
    </row>
    <row r="595" spans="1:2" ht="12.75">
      <c r="A595" s="38"/>
      <c r="B595" s="57"/>
    </row>
    <row r="596" spans="1:2" ht="12.75">
      <c r="A596" s="38"/>
      <c r="B596" s="57"/>
    </row>
    <row r="597" spans="1:2" ht="12.75">
      <c r="A597" s="38"/>
      <c r="B597" s="57"/>
    </row>
    <row r="598" spans="1:2" ht="12.75">
      <c r="A598" s="38"/>
      <c r="B598" s="57"/>
    </row>
    <row r="599" spans="1:2" ht="12.75">
      <c r="A599" s="38"/>
      <c r="B599" s="57"/>
    </row>
    <row r="600" spans="1:2" ht="12.75">
      <c r="A600" s="38"/>
      <c r="B600" s="57"/>
    </row>
    <row r="601" spans="1:2" ht="12.75">
      <c r="A601" s="38"/>
      <c r="B601" s="57"/>
    </row>
    <row r="602" spans="1:2" ht="12.75">
      <c r="A602" s="38"/>
      <c r="B602" s="57"/>
    </row>
    <row r="603" spans="1:2" ht="12.75">
      <c r="A603" s="38"/>
      <c r="B603" s="57"/>
    </row>
    <row r="604" spans="1:2" ht="12.75">
      <c r="A604" s="38"/>
      <c r="B604" s="57"/>
    </row>
    <row r="605" spans="1:2" ht="12.75">
      <c r="A605" s="38"/>
      <c r="B605" s="57"/>
    </row>
    <row r="606" spans="1:2" ht="12.75">
      <c r="A606" s="38"/>
      <c r="B606" s="57"/>
    </row>
    <row r="607" spans="1:2" ht="12.75">
      <c r="A607" s="38"/>
      <c r="B607" s="57"/>
    </row>
    <row r="608" spans="1:2" ht="12.75">
      <c r="A608" s="38"/>
      <c r="B608" s="57"/>
    </row>
    <row r="609" spans="1:2" ht="12.75">
      <c r="A609" s="38"/>
      <c r="B609" s="57"/>
    </row>
    <row r="610" spans="1:2" ht="12.75">
      <c r="A610" s="38"/>
      <c r="B610" s="57"/>
    </row>
    <row r="611" spans="1:2" ht="12.75">
      <c r="A611" s="38"/>
      <c r="B611" s="57"/>
    </row>
    <row r="612" spans="1:2" ht="12.75">
      <c r="A612" s="38"/>
      <c r="B612" s="57"/>
    </row>
    <row r="613" spans="1:2" ht="12.75">
      <c r="A613" s="38"/>
      <c r="B613" s="57"/>
    </row>
    <row r="614" spans="1:2" ht="12.75">
      <c r="A614" s="38"/>
      <c r="B614" s="57"/>
    </row>
    <row r="615" spans="1:2" ht="12.75">
      <c r="A615" s="38"/>
      <c r="B615" s="57"/>
    </row>
    <row r="616" spans="1:2" ht="12.75">
      <c r="A616" s="38"/>
      <c r="B616" s="57"/>
    </row>
    <row r="617" spans="1:2" ht="12.75">
      <c r="A617" s="38"/>
      <c r="B617" s="57"/>
    </row>
    <row r="618" spans="1:2" ht="12.75">
      <c r="A618" s="38"/>
      <c r="B618" s="57"/>
    </row>
    <row r="619" spans="1:2" ht="12.75">
      <c r="A619" s="38"/>
      <c r="B619" s="57"/>
    </row>
    <row r="620" spans="1:2" ht="12.75">
      <c r="A620" s="38"/>
      <c r="B620" s="57"/>
    </row>
    <row r="621" spans="1:2" ht="12.75">
      <c r="A621" s="38"/>
      <c r="B621" s="57"/>
    </row>
    <row r="622" spans="1:2" ht="12.75">
      <c r="A622" s="38"/>
      <c r="B622" s="57"/>
    </row>
    <row r="623" spans="1:2" ht="12.75">
      <c r="A623" s="38"/>
      <c r="B623" s="57"/>
    </row>
    <row r="624" spans="1:2" ht="12.75">
      <c r="A624" s="38"/>
      <c r="B624" s="57"/>
    </row>
    <row r="625" spans="1:2" ht="12.75">
      <c r="A625" s="38"/>
      <c r="B625" s="57"/>
    </row>
    <row r="626" spans="1:2" ht="12.75">
      <c r="A626" s="38"/>
      <c r="B626" s="57"/>
    </row>
    <row r="627" spans="1:2" ht="12.75">
      <c r="A627" s="38"/>
      <c r="B627" s="57"/>
    </row>
    <row r="628" spans="1:2" ht="12.75">
      <c r="A628" s="38"/>
      <c r="B628" s="57"/>
    </row>
    <row r="629" spans="1:2" ht="12.75">
      <c r="A629" s="38"/>
      <c r="B629" s="57"/>
    </row>
    <row r="630" spans="1:2" ht="12.75">
      <c r="A630" s="38"/>
      <c r="B630" s="57"/>
    </row>
    <row r="631" spans="1:2" ht="12.75">
      <c r="A631" s="38"/>
      <c r="B631" s="57"/>
    </row>
    <row r="632" spans="1:2" ht="12.75">
      <c r="A632" s="38"/>
      <c r="B632" s="57"/>
    </row>
    <row r="633" spans="1:2" ht="12.75">
      <c r="A633" s="38"/>
      <c r="B633" s="57"/>
    </row>
    <row r="634" spans="1:2" ht="12.75">
      <c r="A634" s="38"/>
      <c r="B634" s="57"/>
    </row>
    <row r="635" spans="1:2" ht="12.75">
      <c r="A635" s="38"/>
      <c r="B635" s="57"/>
    </row>
    <row r="636" spans="1:2" ht="12.75">
      <c r="A636" s="38"/>
      <c r="B636" s="57"/>
    </row>
    <row r="637" spans="1:2" ht="12.75">
      <c r="A637" s="38"/>
      <c r="B637" s="57"/>
    </row>
    <row r="638" spans="1:2" ht="12.75">
      <c r="A638" s="38"/>
      <c r="B638" s="57"/>
    </row>
    <row r="639" spans="1:2" ht="12.75">
      <c r="A639" s="38"/>
      <c r="B639" s="57"/>
    </row>
    <row r="640" spans="1:2" ht="12.75">
      <c r="A640" s="38"/>
      <c r="B640" s="57"/>
    </row>
    <row r="641" spans="1:2" ht="12.75">
      <c r="A641" s="38"/>
      <c r="B641" s="57"/>
    </row>
    <row r="642" spans="1:2" ht="12.75">
      <c r="A642" s="38"/>
      <c r="B642" s="57"/>
    </row>
    <row r="643" spans="1:2" ht="12.75">
      <c r="A643" s="38"/>
      <c r="B643" s="57"/>
    </row>
    <row r="644" spans="1:2" ht="12.75">
      <c r="A644" s="38"/>
      <c r="B644" s="57"/>
    </row>
    <row r="645" spans="1:2" ht="12.75">
      <c r="A645" s="38"/>
      <c r="B645" s="57"/>
    </row>
    <row r="646" spans="1:2" ht="12.75">
      <c r="A646" s="38"/>
      <c r="B646" s="57"/>
    </row>
    <row r="647" spans="1:2" ht="12.75">
      <c r="A647" s="38"/>
      <c r="B647" s="57"/>
    </row>
    <row r="648" spans="1:2" ht="12.75">
      <c r="A648" s="38"/>
      <c r="B648" s="57"/>
    </row>
    <row r="649" spans="1:2" ht="12.75">
      <c r="A649" s="38"/>
      <c r="B649" s="57"/>
    </row>
    <row r="650" spans="1:2" ht="12.75">
      <c r="A650" s="38"/>
      <c r="B650" s="57"/>
    </row>
    <row r="651" spans="1:2" ht="12.75">
      <c r="A651" s="38"/>
      <c r="B651" s="57"/>
    </row>
    <row r="652" spans="1:2" ht="12.75">
      <c r="A652" s="38"/>
      <c r="B652" s="57"/>
    </row>
    <row r="653" spans="1:2" ht="12.75">
      <c r="A653" s="38"/>
      <c r="B653" s="57"/>
    </row>
    <row r="654" spans="1:2" ht="12.75">
      <c r="A654" s="38"/>
      <c r="B654" s="57"/>
    </row>
    <row r="655" spans="1:2" ht="12.75">
      <c r="A655" s="38"/>
      <c r="B655" s="57"/>
    </row>
    <row r="656" spans="1:2" ht="12.75">
      <c r="A656" s="38"/>
      <c r="B656" s="57"/>
    </row>
    <row r="657" spans="1:2" ht="12.75">
      <c r="A657" s="38"/>
      <c r="B657" s="57"/>
    </row>
    <row r="658" spans="1:2" ht="12.75">
      <c r="A658" s="38"/>
      <c r="B658" s="57"/>
    </row>
    <row r="659" spans="1:2" ht="12.75">
      <c r="A659" s="38"/>
      <c r="B659" s="57"/>
    </row>
    <row r="660" spans="1:2" ht="12.75">
      <c r="A660" s="38"/>
      <c r="B660" s="57"/>
    </row>
    <row r="661" spans="1:2" ht="12.75">
      <c r="A661" s="38"/>
      <c r="B661" s="57"/>
    </row>
    <row r="662" spans="1:2" ht="12.75">
      <c r="A662" s="38"/>
      <c r="B662" s="57"/>
    </row>
    <row r="663" spans="1:2" ht="12.75">
      <c r="A663" s="38"/>
      <c r="B663" s="57"/>
    </row>
    <row r="664" spans="1:2" ht="12.75">
      <c r="A664" s="38"/>
      <c r="B664" s="57"/>
    </row>
    <row r="665" spans="1:2" ht="12.75">
      <c r="A665" s="38"/>
      <c r="B665" s="57"/>
    </row>
    <row r="666" spans="1:2" ht="12.75">
      <c r="A666" s="38"/>
      <c r="B666" s="57"/>
    </row>
    <row r="667" spans="1:2" ht="12.75">
      <c r="A667" s="38"/>
      <c r="B667" s="57"/>
    </row>
    <row r="668" spans="1:2" ht="12.75">
      <c r="A668" s="38"/>
      <c r="B668" s="57"/>
    </row>
    <row r="669" spans="1:2" ht="12.75">
      <c r="A669" s="38"/>
      <c r="B669" s="57"/>
    </row>
    <row r="670" spans="1:2" ht="12.75">
      <c r="A670" s="38"/>
      <c r="B670" s="57"/>
    </row>
    <row r="671" spans="1:2" ht="12.75">
      <c r="A671" s="38"/>
      <c r="B671" s="57"/>
    </row>
    <row r="672" spans="1:2" ht="12.75">
      <c r="A672" s="38"/>
      <c r="B672" s="57"/>
    </row>
    <row r="673" spans="1:2" ht="12.75">
      <c r="A673" s="38"/>
      <c r="B673" s="57"/>
    </row>
    <row r="674" spans="1:2" ht="12.75">
      <c r="A674" s="38"/>
      <c r="B674" s="57"/>
    </row>
    <row r="675" spans="1:2" ht="12.75">
      <c r="A675" s="38"/>
      <c r="B675" s="57"/>
    </row>
    <row r="676" spans="1:2" ht="12.75">
      <c r="A676" s="38"/>
      <c r="B676" s="57"/>
    </row>
    <row r="677" spans="1:2" ht="12.75">
      <c r="A677" s="38"/>
      <c r="B677" s="57"/>
    </row>
    <row r="678" spans="1:2" ht="12.75">
      <c r="A678" s="38"/>
      <c r="B678" s="57"/>
    </row>
    <row r="679" spans="1:2" ht="12.75">
      <c r="A679" s="38"/>
      <c r="B679" s="57"/>
    </row>
    <row r="680" spans="1:2" ht="12.75">
      <c r="A680" s="38"/>
      <c r="B680" s="57"/>
    </row>
    <row r="681" spans="1:2" ht="12.75">
      <c r="A681" s="38"/>
      <c r="B681" s="57"/>
    </row>
    <row r="682" spans="1:2" ht="12.75">
      <c r="A682" s="38"/>
      <c r="B682" s="57"/>
    </row>
    <row r="683" spans="1:2" ht="12.75">
      <c r="A683" s="38"/>
      <c r="B683" s="57"/>
    </row>
    <row r="684" spans="1:2" ht="12.75">
      <c r="A684" s="38"/>
      <c r="B684" s="57"/>
    </row>
    <row r="685" spans="1:2" ht="12.75">
      <c r="A685" s="38"/>
      <c r="B685" s="57"/>
    </row>
    <row r="686" spans="1:2" ht="12.75">
      <c r="A686" s="38"/>
      <c r="B686" s="57"/>
    </row>
    <row r="687" spans="1:2" ht="12.75">
      <c r="A687" s="38"/>
      <c r="B687" s="57"/>
    </row>
    <row r="688" spans="1:2" ht="12.75">
      <c r="A688" s="38"/>
      <c r="B688" s="57"/>
    </row>
    <row r="689" spans="1:2" ht="12.75">
      <c r="A689" s="38"/>
      <c r="B689" s="57"/>
    </row>
    <row r="690" spans="1:2" ht="12.75">
      <c r="A690" s="38"/>
      <c r="B690" s="57"/>
    </row>
    <row r="691" spans="1:2" ht="12.75">
      <c r="A691" s="38"/>
      <c r="B691" s="57"/>
    </row>
    <row r="692" spans="1:2" ht="12.75">
      <c r="A692" s="38"/>
      <c r="B692" s="57"/>
    </row>
    <row r="693" spans="1:2" ht="12.75">
      <c r="A693" s="38"/>
      <c r="B693" s="57"/>
    </row>
    <row r="694" spans="1:2" ht="12.75">
      <c r="A694" s="38"/>
      <c r="B694" s="57"/>
    </row>
    <row r="695" spans="1:2" ht="12.75">
      <c r="A695" s="38"/>
      <c r="B695" s="57"/>
    </row>
    <row r="696" spans="1:2" ht="12.75">
      <c r="A696" s="38"/>
      <c r="B696" s="57"/>
    </row>
    <row r="697" spans="1:2" ht="12.75">
      <c r="A697" s="38"/>
      <c r="B697" s="57"/>
    </row>
    <row r="698" spans="1:2" ht="12.75">
      <c r="A698" s="38"/>
      <c r="B698" s="57"/>
    </row>
    <row r="699" spans="1:2" ht="12.75">
      <c r="A699" s="38"/>
      <c r="B699" s="57"/>
    </row>
    <row r="700" spans="1:2" ht="12.75">
      <c r="A700" s="38"/>
      <c r="B700" s="57"/>
    </row>
    <row r="701" spans="1:2" ht="12.75">
      <c r="A701" s="38"/>
      <c r="B701" s="57"/>
    </row>
    <row r="702" spans="1:2" ht="12.75">
      <c r="A702" s="38"/>
      <c r="B702" s="57"/>
    </row>
    <row r="703" spans="1:2" ht="12.75">
      <c r="A703" s="38"/>
      <c r="B703" s="57"/>
    </row>
    <row r="704" spans="1:2" ht="12.75">
      <c r="A704" s="38"/>
      <c r="B704" s="57"/>
    </row>
    <row r="705" spans="1:2" ht="12.75">
      <c r="A705" s="38"/>
      <c r="B705" s="57"/>
    </row>
    <row r="706" spans="1:2" ht="12.75">
      <c r="A706" s="38"/>
      <c r="B706" s="57"/>
    </row>
    <row r="707" spans="1:2" ht="12.75">
      <c r="A707" s="38"/>
      <c r="B707" s="57"/>
    </row>
    <row r="708" spans="1:2" ht="12.75">
      <c r="A708" s="38"/>
      <c r="B708" s="57"/>
    </row>
    <row r="709" spans="1:2" ht="12.75">
      <c r="A709" s="38"/>
      <c r="B709" s="57"/>
    </row>
    <row r="710" spans="1:2" ht="12.75">
      <c r="A710" s="38"/>
      <c r="B710" s="57"/>
    </row>
    <row r="711" spans="1:2" ht="12.75">
      <c r="A711" s="38"/>
      <c r="B711" s="57"/>
    </row>
    <row r="712" spans="1:2" ht="12.75">
      <c r="A712" s="38"/>
      <c r="B712" s="57"/>
    </row>
    <row r="713" spans="1:2" ht="12.75">
      <c r="A713" s="38"/>
      <c r="B713" s="57"/>
    </row>
    <row r="714" spans="1:2" ht="12.75">
      <c r="A714" s="38"/>
      <c r="B714" s="57"/>
    </row>
    <row r="715" spans="1:2" ht="12.75">
      <c r="A715" s="38"/>
      <c r="B715" s="57"/>
    </row>
    <row r="716" spans="1:2" ht="12.75">
      <c r="A716" s="38"/>
      <c r="B716" s="57"/>
    </row>
    <row r="717" spans="1:2" ht="12.75">
      <c r="A717" s="38"/>
      <c r="B717" s="57"/>
    </row>
    <row r="718" spans="1:2" ht="12.75">
      <c r="A718" s="38"/>
      <c r="B718" s="57"/>
    </row>
    <row r="719" spans="1:2" ht="12.75">
      <c r="A719" s="38"/>
      <c r="B719" s="57"/>
    </row>
    <row r="720" spans="1:2" ht="12.75">
      <c r="A720" s="38"/>
      <c r="B720" s="57"/>
    </row>
    <row r="721" spans="1:2" ht="12.75">
      <c r="A721" s="38"/>
      <c r="B721" s="57"/>
    </row>
    <row r="722" spans="1:2" ht="12.75">
      <c r="A722" s="38"/>
      <c r="B722" s="57"/>
    </row>
    <row r="723" spans="1:2" ht="12.75">
      <c r="A723" s="38"/>
      <c r="B723" s="57"/>
    </row>
    <row r="724" spans="1:2" ht="12.75">
      <c r="A724" s="38"/>
      <c r="B724" s="57"/>
    </row>
    <row r="725" spans="1:2" ht="12.75">
      <c r="A725" s="38"/>
      <c r="B725" s="57"/>
    </row>
    <row r="726" spans="1:2" ht="12.75">
      <c r="A726" s="38"/>
      <c r="B726" s="57"/>
    </row>
    <row r="727" spans="1:2" ht="12.75">
      <c r="A727" s="38"/>
      <c r="B727" s="57"/>
    </row>
    <row r="728" spans="1:2" ht="12.75">
      <c r="A728" s="38"/>
      <c r="B728" s="57"/>
    </row>
    <row r="729" spans="1:2" ht="12.75">
      <c r="A729" s="38"/>
      <c r="B729" s="57"/>
    </row>
    <row r="730" spans="1:2" ht="12.75">
      <c r="A730" s="38"/>
      <c r="B730" s="57"/>
    </row>
    <row r="731" spans="1:2" ht="12.75">
      <c r="A731" s="38"/>
      <c r="B731" s="57"/>
    </row>
    <row r="732" spans="1:2" ht="12.75">
      <c r="A732" s="38"/>
      <c r="B732" s="57"/>
    </row>
    <row r="733" spans="1:2" ht="12.75">
      <c r="A733" s="38"/>
      <c r="B733" s="57"/>
    </row>
    <row r="734" spans="1:2" ht="12.75">
      <c r="A734" s="38"/>
      <c r="B734" s="57"/>
    </row>
    <row r="735" spans="1:2" ht="12.75">
      <c r="A735" s="38"/>
      <c r="B735" s="57"/>
    </row>
    <row r="736" spans="1:2" ht="12.75">
      <c r="A736" s="38"/>
      <c r="B736" s="57"/>
    </row>
    <row r="737" spans="1:2" ht="12.75">
      <c r="A737" s="38"/>
      <c r="B737" s="57"/>
    </row>
    <row r="738" spans="1:2" ht="12.75">
      <c r="A738" s="38"/>
      <c r="B738" s="57"/>
    </row>
    <row r="739" spans="1:2" ht="12.75">
      <c r="A739" s="38"/>
      <c r="B739" s="57"/>
    </row>
    <row r="740" spans="1:2" ht="12.75">
      <c r="A740" s="38"/>
      <c r="B740" s="57"/>
    </row>
    <row r="741" spans="1:2" ht="12.75">
      <c r="A741" s="38"/>
      <c r="B741" s="57"/>
    </row>
    <row r="742" spans="1:2" ht="12.75">
      <c r="A742" s="38"/>
      <c r="B742" s="57"/>
    </row>
    <row r="743" spans="1:2" ht="12.75">
      <c r="A743" s="38"/>
      <c r="B743" s="57"/>
    </row>
    <row r="744" spans="1:2" ht="12.75">
      <c r="A744" s="38"/>
      <c r="B744" s="57"/>
    </row>
    <row r="745" spans="1:2" ht="12.75">
      <c r="A745" s="38"/>
      <c r="B745" s="57"/>
    </row>
    <row r="746" spans="1:2" ht="12.75">
      <c r="A746" s="38"/>
      <c r="B746" s="57"/>
    </row>
    <row r="747" spans="1:2" ht="12.75">
      <c r="A747" s="38"/>
      <c r="B747" s="57"/>
    </row>
    <row r="748" spans="1:2" ht="12.75">
      <c r="A748" s="38"/>
      <c r="B748" s="57"/>
    </row>
    <row r="749" spans="1:2" ht="12.75">
      <c r="A749" s="38"/>
      <c r="B749" s="57"/>
    </row>
    <row r="750" spans="1:2" ht="12.75">
      <c r="A750" s="38"/>
      <c r="B750" s="57"/>
    </row>
    <row r="751" spans="1:2" ht="12.75">
      <c r="A751" s="38"/>
      <c r="B751" s="57"/>
    </row>
    <row r="752" spans="1:2" ht="12.75">
      <c r="A752" s="38"/>
      <c r="B752" s="57"/>
    </row>
    <row r="753" spans="1:2" ht="12.75">
      <c r="A753" s="38"/>
      <c r="B753" s="57"/>
    </row>
    <row r="754" spans="1:2" ht="12.75">
      <c r="A754" s="38"/>
      <c r="B754" s="57"/>
    </row>
    <row r="755" spans="1:2" ht="12.75">
      <c r="A755" s="38"/>
      <c r="B755" s="57"/>
    </row>
    <row r="756" spans="1:2" ht="12.75">
      <c r="A756" s="38"/>
      <c r="B756" s="57"/>
    </row>
    <row r="757" spans="1:2" ht="12.75">
      <c r="A757" s="38"/>
      <c r="B757" s="57"/>
    </row>
    <row r="758" spans="1:2" ht="12.75">
      <c r="A758" s="38"/>
      <c r="B758" s="57"/>
    </row>
    <row r="759" spans="1:2" ht="12.75">
      <c r="A759" s="38"/>
      <c r="B759" s="57"/>
    </row>
    <row r="760" spans="1:2" ht="12.75">
      <c r="A760" s="38"/>
      <c r="B760" s="57"/>
    </row>
    <row r="761" spans="1:2" ht="12.75">
      <c r="A761" s="38"/>
      <c r="B761" s="57"/>
    </row>
    <row r="762" spans="1:2" ht="12.75">
      <c r="A762" s="38"/>
      <c r="B762" s="57"/>
    </row>
    <row r="763" spans="1:2" ht="12.75">
      <c r="A763" s="38"/>
      <c r="B763" s="57"/>
    </row>
    <row r="764" spans="1:2" ht="12.75">
      <c r="A764" s="38"/>
      <c r="B764" s="57"/>
    </row>
    <row r="765" spans="1:2" ht="12.75">
      <c r="A765" s="38"/>
      <c r="B765" s="57"/>
    </row>
    <row r="766" spans="1:2" ht="12.75">
      <c r="A766" s="38"/>
      <c r="B766" s="57"/>
    </row>
    <row r="767" spans="1:2" ht="12.75">
      <c r="A767" s="38"/>
      <c r="B767" s="57"/>
    </row>
    <row r="768" spans="1:2" ht="12.75">
      <c r="A768" s="38"/>
      <c r="B768" s="57"/>
    </row>
    <row r="769" spans="1:2" ht="12.75">
      <c r="A769" s="38"/>
      <c r="B769" s="57"/>
    </row>
    <row r="770" spans="1:2" ht="12.75">
      <c r="A770" s="38"/>
      <c r="B770" s="57"/>
    </row>
    <row r="771" spans="1:2" ht="12.75">
      <c r="A771" s="38"/>
      <c r="B771" s="57"/>
    </row>
    <row r="772" spans="1:2" ht="12.75">
      <c r="A772" s="38"/>
      <c r="B772" s="57"/>
    </row>
    <row r="773" spans="1:2" ht="12.75">
      <c r="A773" s="38"/>
      <c r="B773" s="57"/>
    </row>
    <row r="774" spans="1:2" ht="12.75">
      <c r="A774" s="38"/>
      <c r="B774" s="57"/>
    </row>
    <row r="775" spans="1:2" ht="12.75">
      <c r="A775" s="38"/>
      <c r="B775" s="57"/>
    </row>
    <row r="776" spans="1:2" ht="12.75">
      <c r="A776" s="38"/>
      <c r="B776" s="57"/>
    </row>
    <row r="777" spans="1:2" ht="12.75">
      <c r="A777" s="38"/>
      <c r="B777" s="57"/>
    </row>
    <row r="778" spans="1:2" ht="12.75">
      <c r="A778" s="38"/>
      <c r="B778" s="57"/>
    </row>
    <row r="779" spans="1:2" ht="12.75">
      <c r="A779" s="38"/>
      <c r="B779" s="57"/>
    </row>
    <row r="780" spans="1:2" ht="12.75">
      <c r="A780" s="38"/>
      <c r="B780" s="57"/>
    </row>
    <row r="781" spans="1:2" ht="12.75">
      <c r="A781" s="38"/>
      <c r="B781" s="57"/>
    </row>
    <row r="782" spans="1:2" ht="12.75">
      <c r="A782" s="38"/>
      <c r="B782" s="57"/>
    </row>
    <row r="783" spans="1:2" ht="12.75">
      <c r="A783" s="38"/>
      <c r="B783" s="57"/>
    </row>
    <row r="784" spans="1:2" ht="12.75">
      <c r="A784" s="38"/>
      <c r="B784" s="57"/>
    </row>
    <row r="785" spans="1:2" ht="12.75">
      <c r="A785" s="38"/>
      <c r="B785" s="57"/>
    </row>
    <row r="786" spans="1:2" ht="12.75">
      <c r="A786" s="38"/>
      <c r="B786" s="57"/>
    </row>
    <row r="787" spans="1:2" ht="12.75">
      <c r="A787" s="38"/>
      <c r="B787" s="57"/>
    </row>
    <row r="788" spans="1:2" ht="12.75">
      <c r="A788" s="38"/>
      <c r="B788" s="57"/>
    </row>
    <row r="789" spans="1:2" ht="12.75">
      <c r="A789" s="38"/>
      <c r="B789" s="57"/>
    </row>
    <row r="790" spans="1:2" ht="12.75">
      <c r="A790" s="38"/>
      <c r="B790" s="57"/>
    </row>
    <row r="791" spans="1:2" ht="12.75">
      <c r="A791" s="38"/>
      <c r="B791" s="57"/>
    </row>
    <row r="792" spans="1:2" ht="12.75">
      <c r="A792" s="38"/>
      <c r="B792" s="57"/>
    </row>
    <row r="793" spans="1:2" ht="12.75">
      <c r="A793" s="38"/>
      <c r="B793" s="57"/>
    </row>
    <row r="794" spans="1:2" ht="12.75">
      <c r="A794" s="38"/>
      <c r="B794" s="57"/>
    </row>
    <row r="795" spans="1:2" ht="12.75">
      <c r="A795" s="38"/>
      <c r="B795" s="57"/>
    </row>
    <row r="796" spans="1:2" ht="12.75">
      <c r="A796" s="38"/>
      <c r="B796" s="57"/>
    </row>
    <row r="797" spans="1:2" ht="12.75">
      <c r="A797" s="38"/>
      <c r="B797" s="57"/>
    </row>
    <row r="798" spans="1:2" ht="12.75">
      <c r="A798" s="38"/>
      <c r="B798" s="57"/>
    </row>
    <row r="799" spans="1:2" ht="12.75">
      <c r="A799" s="38"/>
      <c r="B799" s="57"/>
    </row>
    <row r="800" spans="1:2" ht="12.75">
      <c r="A800" s="38"/>
      <c r="B800" s="57"/>
    </row>
    <row r="801" spans="1:2" ht="12.75">
      <c r="A801" s="38"/>
      <c r="B801" s="57"/>
    </row>
    <row r="802" spans="1:2" ht="12.75">
      <c r="A802" s="38"/>
      <c r="B802" s="57"/>
    </row>
    <row r="803" spans="1:2" ht="12.75">
      <c r="A803" s="38"/>
      <c r="B803" s="57"/>
    </row>
    <row r="804" spans="1:2" ht="12.75">
      <c r="A804" s="38"/>
      <c r="B804" s="57"/>
    </row>
    <row r="805" spans="1:2" ht="12.75">
      <c r="A805" s="38"/>
      <c r="B805" s="57"/>
    </row>
    <row r="806" spans="1:2" ht="12.75">
      <c r="A806" s="38"/>
      <c r="B806" s="57"/>
    </row>
    <row r="807" spans="1:2" ht="12.75">
      <c r="A807" s="38"/>
      <c r="B807" s="57"/>
    </row>
    <row r="808" spans="1:2" ht="12.75">
      <c r="A808" s="38"/>
      <c r="B808" s="57"/>
    </row>
    <row r="809" spans="1:2" ht="12.75">
      <c r="A809" s="38"/>
      <c r="B809" s="57"/>
    </row>
    <row r="810" spans="1:2" ht="12.75">
      <c r="A810" s="38"/>
      <c r="B810" s="57"/>
    </row>
    <row r="811" spans="1:2" ht="12.75">
      <c r="A811" s="38"/>
      <c r="B811" s="57"/>
    </row>
    <row r="812" spans="1:2" ht="12.75">
      <c r="A812" s="38"/>
      <c r="B812" s="57"/>
    </row>
    <row r="813" spans="1:2" ht="12.75">
      <c r="A813" s="38"/>
      <c r="B813" s="57"/>
    </row>
    <row r="814" spans="1:2" ht="12.75">
      <c r="A814" s="38"/>
      <c r="B814" s="57"/>
    </row>
    <row r="815" spans="1:2" ht="12.75">
      <c r="A815" s="38"/>
      <c r="B815" s="57"/>
    </row>
    <row r="816" spans="1:2" ht="12.75">
      <c r="A816" s="38"/>
      <c r="B816" s="57"/>
    </row>
    <row r="817" spans="1:2" ht="12.75">
      <c r="A817" s="38"/>
      <c r="B817" s="57"/>
    </row>
    <row r="818" spans="1:2" ht="12.75">
      <c r="A818" s="38"/>
      <c r="B818" s="57"/>
    </row>
    <row r="819" spans="1:2" ht="12.75">
      <c r="A819" s="38"/>
      <c r="B819" s="57"/>
    </row>
    <row r="820" spans="1:2" ht="12.75">
      <c r="A820" s="38"/>
      <c r="B820" s="57"/>
    </row>
    <row r="821" spans="1:2" ht="12.75">
      <c r="A821" s="38"/>
      <c r="B821" s="57"/>
    </row>
    <row r="822" spans="1:2" ht="12.75">
      <c r="A822" s="38"/>
      <c r="B822" s="57"/>
    </row>
    <row r="823" spans="1:2" ht="12.75">
      <c r="A823" s="38"/>
      <c r="B823" s="57"/>
    </row>
    <row r="824" spans="1:2" ht="12.75">
      <c r="A824" s="38"/>
      <c r="B824" s="57"/>
    </row>
    <row r="825" spans="1:2" ht="12.75">
      <c r="A825" s="38"/>
      <c r="B825" s="57"/>
    </row>
    <row r="826" spans="1:2" ht="12.75">
      <c r="A826" s="38"/>
      <c r="B826" s="57"/>
    </row>
    <row r="827" spans="1:2" ht="12.75">
      <c r="A827" s="38"/>
      <c r="B827" s="57"/>
    </row>
    <row r="828" spans="1:2" ht="12.75">
      <c r="A828" s="38"/>
      <c r="B828" s="57"/>
    </row>
    <row r="829" spans="1:2" ht="12.75">
      <c r="A829" s="38"/>
      <c r="B829" s="57"/>
    </row>
    <row r="830" spans="1:2" ht="12.75">
      <c r="A830" s="38"/>
      <c r="B830" s="57"/>
    </row>
    <row r="831" spans="1:2" ht="12.75">
      <c r="A831" s="38"/>
      <c r="B831" s="57"/>
    </row>
    <row r="832" spans="1:2" ht="12.75">
      <c r="A832" s="38"/>
      <c r="B832" s="57"/>
    </row>
    <row r="833" spans="1:2" ht="12.75">
      <c r="A833" s="38"/>
      <c r="B833" s="57"/>
    </row>
    <row r="834" spans="1:2" ht="12.75">
      <c r="A834" s="38"/>
      <c r="B834" s="57"/>
    </row>
    <row r="835" spans="1:2" ht="12.75">
      <c r="A835" s="38"/>
      <c r="B835" s="57"/>
    </row>
    <row r="836" spans="1:2" ht="12.75">
      <c r="A836" s="38"/>
      <c r="B836" s="57"/>
    </row>
    <row r="837" spans="1:2" ht="12.75">
      <c r="A837" s="38"/>
      <c r="B837" s="57"/>
    </row>
    <row r="838" spans="1:2" ht="12.75">
      <c r="A838" s="38"/>
      <c r="B838" s="57"/>
    </row>
    <row r="839" spans="1:2" ht="12.75">
      <c r="A839" s="38"/>
      <c r="B839" s="57"/>
    </row>
    <row r="840" spans="1:2" ht="12.75">
      <c r="A840" s="38"/>
      <c r="B840" s="57"/>
    </row>
    <row r="841" spans="1:2" ht="12.75">
      <c r="A841" s="38"/>
      <c r="B841" s="57"/>
    </row>
    <row r="842" spans="1:2" ht="12.75">
      <c r="A842" s="38"/>
      <c r="B842" s="57"/>
    </row>
    <row r="843" spans="1:2" ht="12.75">
      <c r="A843" s="38"/>
      <c r="B843" s="57"/>
    </row>
    <row r="844" spans="1:2" ht="12.75">
      <c r="A844" s="38"/>
      <c r="B844" s="57"/>
    </row>
    <row r="845" spans="1:2" ht="12.75">
      <c r="A845" s="38"/>
      <c r="B845" s="57"/>
    </row>
    <row r="846" spans="1:2" ht="12.75">
      <c r="A846" s="38"/>
      <c r="B846" s="57"/>
    </row>
    <row r="847" spans="1:2" ht="12.75">
      <c r="A847" s="38"/>
      <c r="B847" s="57"/>
    </row>
    <row r="848" spans="1:2" ht="12.75">
      <c r="A848" s="38"/>
      <c r="B848" s="57"/>
    </row>
    <row r="849" spans="1:2" ht="12.75">
      <c r="A849" s="38"/>
      <c r="B849" s="57"/>
    </row>
    <row r="850" spans="1:2" ht="12.75">
      <c r="A850" s="38"/>
      <c r="B850" s="57"/>
    </row>
    <row r="851" spans="1:2" ht="12.75">
      <c r="A851" s="38"/>
      <c r="B851" s="57"/>
    </row>
    <row r="852" spans="1:2" ht="12.75">
      <c r="A852" s="38"/>
      <c r="B852" s="57"/>
    </row>
    <row r="853" spans="1:2" ht="12.75">
      <c r="A853" s="38"/>
      <c r="B853" s="57"/>
    </row>
    <row r="854" spans="1:2" ht="12.75">
      <c r="A854" s="38"/>
      <c r="B854" s="57"/>
    </row>
    <row r="855" spans="1:2" ht="12.75">
      <c r="A855" s="38"/>
      <c r="B855" s="57"/>
    </row>
    <row r="856" spans="1:2" ht="12.75">
      <c r="A856" s="38"/>
      <c r="B856" s="57"/>
    </row>
    <row r="857" spans="1:2" ht="12.75">
      <c r="A857" s="38"/>
      <c r="B857" s="57"/>
    </row>
    <row r="858" spans="1:2" ht="12.75">
      <c r="A858" s="38"/>
      <c r="B858" s="57"/>
    </row>
    <row r="859" spans="1:2" ht="12.75">
      <c r="A859" s="38"/>
      <c r="B859" s="57"/>
    </row>
    <row r="860" spans="1:2" ht="12.75">
      <c r="A860" s="38"/>
      <c r="B860" s="57"/>
    </row>
    <row r="861" spans="1:2" ht="12.75">
      <c r="A861" s="38"/>
      <c r="B861" s="57"/>
    </row>
    <row r="862" spans="1:2" ht="12.75">
      <c r="A862" s="38"/>
      <c r="B862" s="57"/>
    </row>
    <row r="863" spans="1:2" ht="12.75">
      <c r="A863" s="38"/>
      <c r="B863" s="57"/>
    </row>
    <row r="864" spans="1:2" ht="12.75">
      <c r="A864" s="38"/>
      <c r="B864" s="57"/>
    </row>
    <row r="865" spans="1:2" ht="12.75">
      <c r="A865" s="38"/>
      <c r="B865" s="57"/>
    </row>
    <row r="866" spans="1:2" ht="12.75">
      <c r="A866" s="38"/>
      <c r="B866" s="57"/>
    </row>
    <row r="867" spans="1:2" ht="12.75">
      <c r="A867" s="38"/>
      <c r="B867" s="57"/>
    </row>
    <row r="868" spans="1:2" ht="12.75">
      <c r="A868" s="38"/>
      <c r="B868" s="57"/>
    </row>
    <row r="869" spans="1:2" ht="12.75">
      <c r="A869" s="38"/>
      <c r="B869" s="57"/>
    </row>
    <row r="870" spans="1:2" ht="12.75">
      <c r="A870" s="38"/>
      <c r="B870" s="57"/>
    </row>
    <row r="871" spans="1:2" ht="12.75">
      <c r="A871" s="38"/>
      <c r="B871" s="57"/>
    </row>
    <row r="872" spans="1:2" ht="12.75">
      <c r="A872" s="38"/>
      <c r="B872" s="57"/>
    </row>
    <row r="873" spans="1:2" ht="12.75">
      <c r="A873" s="38"/>
      <c r="B873" s="57"/>
    </row>
    <row r="874" spans="1:2" ht="12.75">
      <c r="A874" s="38"/>
      <c r="B874" s="57"/>
    </row>
    <row r="875" spans="1:2" ht="12.75">
      <c r="A875" s="38"/>
      <c r="B875" s="57"/>
    </row>
    <row r="876" spans="1:2" ht="12.75">
      <c r="A876" s="38"/>
      <c r="B876" s="57"/>
    </row>
    <row r="877" spans="1:2" ht="12.75">
      <c r="A877" s="38"/>
      <c r="B877" s="57"/>
    </row>
    <row r="878" spans="1:2" ht="12.75">
      <c r="A878" s="38"/>
      <c r="B878" s="57"/>
    </row>
    <row r="879" spans="1:2" ht="12.75">
      <c r="A879" s="38"/>
      <c r="B879" s="57"/>
    </row>
    <row r="880" spans="1:2" ht="12.75">
      <c r="A880" s="38"/>
      <c r="B880" s="57"/>
    </row>
    <row r="881" spans="1:2" ht="12.75">
      <c r="A881" s="38"/>
      <c r="B881" s="57"/>
    </row>
    <row r="882" spans="1:2" ht="12.75">
      <c r="A882" s="38"/>
      <c r="B882" s="57"/>
    </row>
    <row r="883" spans="1:2" ht="12.75">
      <c r="A883" s="38"/>
      <c r="B883" s="57"/>
    </row>
    <row r="884" spans="1:2" ht="12.75">
      <c r="A884" s="38"/>
      <c r="B884" s="57"/>
    </row>
    <row r="885" spans="1:2" ht="12.75">
      <c r="A885" s="38"/>
      <c r="B885" s="57"/>
    </row>
    <row r="886" spans="1:2" ht="12.75">
      <c r="A886" s="38"/>
      <c r="B886" s="57"/>
    </row>
    <row r="887" spans="1:2" ht="12.75">
      <c r="A887" s="38"/>
      <c r="B887" s="57"/>
    </row>
    <row r="888" spans="1:2" ht="12.75">
      <c r="A888" s="38"/>
      <c r="B888" s="57"/>
    </row>
    <row r="889" spans="1:2" ht="12.75">
      <c r="A889" s="38"/>
      <c r="B889" s="57"/>
    </row>
    <row r="890" spans="1:2" ht="12.75">
      <c r="A890" s="38"/>
      <c r="B890" s="57"/>
    </row>
    <row r="891" spans="1:2" ht="12.75">
      <c r="A891" s="38"/>
      <c r="B891" s="57"/>
    </row>
    <row r="892" spans="1:2" ht="12.75">
      <c r="A892" s="38"/>
      <c r="B892" s="57"/>
    </row>
    <row r="893" spans="1:2" ht="12.75">
      <c r="A893" s="38"/>
      <c r="B893" s="57"/>
    </row>
    <row r="894" spans="1:2" ht="12.75">
      <c r="A894" s="38"/>
      <c r="B894" s="57"/>
    </row>
    <row r="895" spans="1:2" ht="12.75">
      <c r="A895" s="38"/>
      <c r="B895" s="57"/>
    </row>
    <row r="896" spans="1:2" ht="12.75">
      <c r="A896" s="38"/>
      <c r="B896" s="57"/>
    </row>
    <row r="897" spans="1:2" ht="12.75">
      <c r="A897" s="38"/>
      <c r="B897" s="57"/>
    </row>
    <row r="898" spans="1:2" ht="12.75">
      <c r="A898" s="38"/>
      <c r="B898" s="57"/>
    </row>
    <row r="899" spans="1:2" ht="12.75">
      <c r="A899" s="38"/>
      <c r="B899" s="57"/>
    </row>
    <row r="900" spans="1:2" ht="12.75">
      <c r="A900" s="38"/>
      <c r="B900" s="57"/>
    </row>
    <row r="901" spans="1:2" ht="12.75">
      <c r="A901" s="38"/>
      <c r="B901" s="57"/>
    </row>
    <row r="902" spans="1:2" ht="12.75">
      <c r="A902" s="38"/>
      <c r="B902" s="57"/>
    </row>
    <row r="903" spans="1:2" ht="12.75">
      <c r="A903" s="38"/>
      <c r="B903" s="57"/>
    </row>
    <row r="904" spans="1:2" ht="12.75">
      <c r="A904" s="38"/>
      <c r="B904" s="57"/>
    </row>
    <row r="905" spans="1:2" ht="12.75">
      <c r="A905" s="38"/>
      <c r="B905" s="57"/>
    </row>
    <row r="906" spans="1:2" ht="12.75">
      <c r="A906" s="38"/>
      <c r="B906" s="57"/>
    </row>
    <row r="907" spans="1:2" ht="12.75">
      <c r="A907" s="38"/>
      <c r="B907" s="57"/>
    </row>
    <row r="908" spans="1:2" ht="12.75">
      <c r="A908" s="38"/>
      <c r="B908" s="57"/>
    </row>
    <row r="909" spans="1:2" ht="12.75">
      <c r="A909" s="38"/>
      <c r="B909" s="57"/>
    </row>
    <row r="910" spans="1:2" ht="12.75">
      <c r="A910" s="38"/>
      <c r="B910" s="57"/>
    </row>
    <row r="911" spans="1:2" ht="12.75">
      <c r="A911" s="38"/>
      <c r="B911" s="57"/>
    </row>
    <row r="912" spans="1:2" ht="12.75">
      <c r="A912" s="38"/>
      <c r="B912" s="57"/>
    </row>
    <row r="913" spans="1:2" ht="12.75">
      <c r="A913" s="38"/>
      <c r="B913" s="57"/>
    </row>
    <row r="914" spans="1:2" ht="12.75">
      <c r="A914" s="38"/>
      <c r="B914" s="57"/>
    </row>
    <row r="915" spans="1:2" ht="12.75">
      <c r="A915" s="38"/>
      <c r="B915" s="57"/>
    </row>
    <row r="916" spans="1:2" ht="12.75">
      <c r="A916" s="38"/>
      <c r="B916" s="57"/>
    </row>
    <row r="917" spans="1:2" ht="12.75">
      <c r="A917" s="38"/>
      <c r="B917" s="57"/>
    </row>
    <row r="918" spans="1:2" ht="12.75">
      <c r="A918" s="38"/>
      <c r="B918" s="57"/>
    </row>
    <row r="919" spans="1:2" ht="12.75">
      <c r="A919" s="38"/>
      <c r="B919" s="57"/>
    </row>
    <row r="920" spans="1:2" ht="12.75">
      <c r="A920" s="38"/>
      <c r="B920" s="57"/>
    </row>
    <row r="921" spans="1:2" ht="12.75">
      <c r="A921" s="38"/>
      <c r="B921" s="57"/>
    </row>
    <row r="922" spans="1:2" ht="12.75">
      <c r="A922" s="38"/>
      <c r="B922" s="57"/>
    </row>
    <row r="923" spans="1:2" ht="12.75">
      <c r="A923" s="38"/>
      <c r="B923" s="57"/>
    </row>
    <row r="924" spans="1:2" ht="12.75">
      <c r="A924" s="38"/>
      <c r="B924" s="57"/>
    </row>
    <row r="925" spans="1:2" ht="12.75">
      <c r="A925" s="38"/>
      <c r="B925" s="57"/>
    </row>
    <row r="926" spans="1:2" ht="12.75">
      <c r="A926" s="38"/>
      <c r="B926" s="57"/>
    </row>
    <row r="927" spans="1:2" ht="12.75">
      <c r="A927" s="38"/>
      <c r="B927" s="57"/>
    </row>
    <row r="928" spans="1:2" ht="12.75">
      <c r="A928" s="38"/>
      <c r="B928" s="57"/>
    </row>
    <row r="929" spans="1:2" ht="12.75">
      <c r="A929" s="38"/>
      <c r="B929" s="57"/>
    </row>
    <row r="930" spans="1:2" ht="12.75">
      <c r="A930" s="38"/>
      <c r="B930" s="57"/>
    </row>
    <row r="931" spans="1:2" ht="12.75">
      <c r="A931" s="38"/>
      <c r="B931" s="57"/>
    </row>
    <row r="932" spans="1:2" ht="12.75">
      <c r="A932" s="38"/>
      <c r="B932" s="57"/>
    </row>
    <row r="933" spans="1:2" ht="12.75">
      <c r="A933" s="38"/>
      <c r="B933" s="57"/>
    </row>
    <row r="934" spans="1:2" ht="12.75">
      <c r="A934" s="38"/>
      <c r="B934" s="57"/>
    </row>
    <row r="935" spans="1:2" ht="12.75">
      <c r="A935" s="38"/>
      <c r="B935" s="57"/>
    </row>
    <row r="936" spans="1:2" ht="12.75">
      <c r="A936" s="38"/>
      <c r="B936" s="57"/>
    </row>
    <row r="937" spans="1:2" ht="12.75">
      <c r="A937" s="38"/>
      <c r="B937" s="57"/>
    </row>
    <row r="938" spans="1:2" ht="12.75">
      <c r="A938" s="38"/>
      <c r="B938" s="57"/>
    </row>
    <row r="939" spans="1:2" ht="12.75">
      <c r="A939" s="38"/>
      <c r="B939" s="57"/>
    </row>
    <row r="940" spans="1:2" ht="12.75">
      <c r="A940" s="38"/>
      <c r="B940" s="57"/>
    </row>
    <row r="941" spans="1:2" ht="12.75">
      <c r="A941" s="38"/>
      <c r="B941" s="57"/>
    </row>
    <row r="942" spans="1:2" ht="12.75">
      <c r="A942" s="38"/>
      <c r="B942" s="57"/>
    </row>
    <row r="943" spans="1:2" ht="12.75">
      <c r="A943" s="38"/>
      <c r="B943" s="57"/>
    </row>
    <row r="944" spans="1:2" ht="12.75">
      <c r="A944" s="38"/>
      <c r="B944" s="57"/>
    </row>
    <row r="945" spans="1:2" ht="12.75">
      <c r="A945" s="38"/>
      <c r="B945" s="57"/>
    </row>
    <row r="946" spans="1:2" ht="12.75">
      <c r="A946" s="38"/>
      <c r="B946" s="57"/>
    </row>
    <row r="947" spans="1:2" ht="12.75">
      <c r="A947" s="38"/>
      <c r="B947" s="57"/>
    </row>
    <row r="948" spans="1:2" ht="12.75">
      <c r="A948" s="38"/>
      <c r="B948" s="57"/>
    </row>
    <row r="949" spans="1:2" ht="12.75">
      <c r="A949" s="38"/>
      <c r="B949" s="57"/>
    </row>
    <row r="950" spans="1:2" ht="12.75">
      <c r="A950" s="38"/>
      <c r="B950" s="57"/>
    </row>
    <row r="951" spans="1:2" ht="12.75">
      <c r="A951" s="38"/>
      <c r="B951" s="57"/>
    </row>
    <row r="952" spans="1:2" ht="12.75">
      <c r="A952" s="38"/>
      <c r="B952" s="57"/>
    </row>
    <row r="953" spans="1:2" ht="12.75">
      <c r="A953" s="38"/>
      <c r="B953" s="57"/>
    </row>
    <row r="954" spans="1:2" ht="12.75">
      <c r="A954" s="38"/>
      <c r="B954" s="57"/>
    </row>
    <row r="955" spans="1:2" ht="12.75">
      <c r="A955" s="38"/>
      <c r="B955" s="57"/>
    </row>
    <row r="956" spans="1:2" ht="12.75">
      <c r="A956" s="38"/>
      <c r="B956" s="57"/>
    </row>
    <row r="957" spans="1:2" ht="12.75">
      <c r="A957" s="38"/>
      <c r="B957" s="57"/>
    </row>
    <row r="958" spans="1:2" ht="12.75">
      <c r="A958" s="38"/>
      <c r="B958" s="57"/>
    </row>
    <row r="959" spans="1:2" ht="12.75">
      <c r="A959" s="38"/>
      <c r="B959" s="57"/>
    </row>
    <row r="960" spans="1:2" ht="12.75">
      <c r="A960" s="38"/>
      <c r="B960" s="57"/>
    </row>
    <row r="961" spans="1:2" ht="12.75">
      <c r="A961" s="38"/>
      <c r="B961" s="57"/>
    </row>
    <row r="962" spans="1:2" ht="12.75">
      <c r="A962" s="38"/>
      <c r="B962" s="57"/>
    </row>
    <row r="963" spans="1:2" ht="12.75">
      <c r="A963" s="38"/>
      <c r="B963" s="57"/>
    </row>
    <row r="964" spans="1:2" ht="12.75">
      <c r="A964" s="38"/>
      <c r="B964" s="57"/>
    </row>
    <row r="965" spans="1:2" ht="12.75">
      <c r="A965" s="38"/>
      <c r="B965" s="57"/>
    </row>
    <row r="966" spans="1:2" ht="12.75">
      <c r="A966" s="38"/>
      <c r="B966" s="57"/>
    </row>
    <row r="967" spans="1:2" ht="12.75">
      <c r="A967" s="38"/>
      <c r="B967" s="57"/>
    </row>
    <row r="968" spans="1:2" ht="12.75">
      <c r="A968" s="38"/>
      <c r="B968" s="57"/>
    </row>
    <row r="969" spans="1:2" ht="12.75">
      <c r="A969" s="38"/>
      <c r="B969" s="57"/>
    </row>
    <row r="970" spans="1:2" ht="12.75">
      <c r="A970" s="38"/>
      <c r="B970" s="57"/>
    </row>
    <row r="971" spans="1:2" ht="12.75">
      <c r="A971" s="38"/>
      <c r="B971" s="57"/>
    </row>
    <row r="972" spans="1:2" ht="12.75">
      <c r="A972" s="38"/>
      <c r="B972" s="57"/>
    </row>
    <row r="973" spans="1:2" ht="12.75">
      <c r="A973" s="38"/>
      <c r="B973" s="57"/>
    </row>
    <row r="974" spans="1:2" ht="12.75">
      <c r="A974" s="38"/>
      <c r="B974" s="57"/>
    </row>
    <row r="975" spans="1:2" ht="12.75">
      <c r="A975" s="38"/>
      <c r="B975" s="57"/>
    </row>
    <row r="976" spans="1:2" ht="12.75">
      <c r="A976" s="38"/>
      <c r="B976" s="57"/>
    </row>
    <row r="977" spans="1:2" ht="12.75">
      <c r="A977" s="38"/>
      <c r="B977" s="57"/>
    </row>
    <row r="978" spans="1:2" ht="12.75">
      <c r="A978" s="38"/>
      <c r="B978" s="57"/>
    </row>
    <row r="979" spans="1:2" ht="12.75">
      <c r="A979" s="38"/>
      <c r="B979" s="57"/>
    </row>
    <row r="980" spans="1:2" ht="12.75">
      <c r="A980" s="38"/>
      <c r="B980" s="57"/>
    </row>
    <row r="981" spans="1:2" ht="12.75">
      <c r="A981" s="38"/>
      <c r="B981" s="57"/>
    </row>
    <row r="982" spans="1:2" ht="12.75">
      <c r="A982" s="38"/>
      <c r="B982" s="57"/>
    </row>
    <row r="983" spans="1:2" ht="12.75">
      <c r="A983" s="38"/>
      <c r="B983" s="57"/>
    </row>
    <row r="984" spans="1:2" ht="12.75">
      <c r="A984" s="38"/>
      <c r="B984" s="57"/>
    </row>
    <row r="985" spans="1:2" ht="12.75">
      <c r="A985" s="38"/>
      <c r="B985" s="57"/>
    </row>
    <row r="986" spans="1:2" ht="12.75">
      <c r="A986" s="38"/>
      <c r="B986" s="57"/>
    </row>
    <row r="987" spans="1:2" ht="12.75">
      <c r="A987" s="38"/>
      <c r="B987" s="57"/>
    </row>
    <row r="988" spans="1:2" ht="12.75">
      <c r="A988" s="38"/>
      <c r="B988" s="57"/>
    </row>
    <row r="989" spans="1:2" ht="12.75">
      <c r="A989" s="38"/>
      <c r="B989" s="57"/>
    </row>
    <row r="990" spans="1:2" ht="12.75">
      <c r="A990" s="38"/>
      <c r="B990" s="57"/>
    </row>
    <row r="991" spans="1:2" ht="12.75">
      <c r="A991" s="38"/>
      <c r="B991" s="57"/>
    </row>
    <row r="992" spans="1:2" ht="12.75">
      <c r="A992" s="38"/>
      <c r="B992" s="57"/>
    </row>
    <row r="993" spans="1:2" ht="12.75">
      <c r="A993" s="38"/>
      <c r="B993" s="57"/>
    </row>
    <row r="994" spans="1:2" ht="12.75">
      <c r="A994" s="38"/>
      <c r="B994" s="57"/>
    </row>
    <row r="995" spans="1:2" ht="12.75">
      <c r="A995" s="38"/>
      <c r="B995" s="57"/>
    </row>
    <row r="996" spans="1:2" ht="12.75">
      <c r="A996" s="38"/>
      <c r="B996" s="57"/>
    </row>
    <row r="997" spans="1:2" ht="12.75">
      <c r="A997" s="38"/>
      <c r="B997" s="57"/>
    </row>
    <row r="998" spans="1:2" ht="12.75">
      <c r="A998" s="38"/>
      <c r="B998" s="57"/>
    </row>
    <row r="999" spans="1:2" ht="12.75">
      <c r="A999" s="38"/>
      <c r="B999" s="57"/>
    </row>
    <row r="1000" spans="1:2" ht="12.75">
      <c r="A1000" s="38"/>
      <c r="B1000" s="57"/>
    </row>
    <row r="1001" spans="1:2" ht="12.75">
      <c r="A1001" s="38"/>
      <c r="B1001" s="57"/>
    </row>
    <row r="1002" spans="1:2" ht="12.75">
      <c r="A1002" s="38"/>
      <c r="B1002" s="57"/>
    </row>
    <row r="1003" spans="1:2" ht="12.75">
      <c r="A1003" s="38"/>
      <c r="B1003" s="57"/>
    </row>
    <row r="1004" spans="1:2" ht="12.75">
      <c r="A1004" s="38"/>
      <c r="B1004" s="57"/>
    </row>
  </sheetData>
  <mergeCells count="3">
    <mergeCell ref="I1:O2"/>
    <mergeCell ref="I3:O4"/>
    <mergeCell ref="A6:O7"/>
  </mergeCells>
  <pageMargins left="0.7" right="0.7" top="0.75" bottom="0.75" header="0.3" footer="0.3"/>
  <drawing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K1021"/>
  <sheetViews>
    <sheetView workbookViewId="0"/>
  </sheetViews>
  <sheetFormatPr baseColWidth="10" defaultColWidth="12.5703125" defaultRowHeight="15.75" customHeight="1"/>
  <cols>
    <col min="1" max="1" width="9.140625" customWidth="1"/>
    <col min="2" max="2" width="6.7109375" customWidth="1"/>
    <col min="3" max="3" width="8.85546875" customWidth="1"/>
    <col min="4" max="4" width="3.42578125" customWidth="1"/>
    <col min="5" max="5" width="16" customWidth="1"/>
    <col min="6" max="6" width="3.42578125" customWidth="1"/>
    <col min="8" max="8" width="3.42578125" customWidth="1"/>
    <col min="9" max="9" width="18.7109375" customWidth="1"/>
    <col min="10" max="10" width="17.28515625" customWidth="1"/>
    <col min="11" max="11" width="20.85546875" customWidth="1"/>
  </cols>
  <sheetData>
    <row r="1" spans="1:11">
      <c r="A1" s="8"/>
      <c r="B1" s="8"/>
      <c r="D1" s="9"/>
      <c r="E1" s="9"/>
      <c r="F1" s="113" t="s">
        <v>10</v>
      </c>
      <c r="G1" s="110"/>
      <c r="H1" s="110"/>
      <c r="I1" s="110"/>
      <c r="J1" s="110"/>
      <c r="K1" s="110"/>
    </row>
    <row r="2" spans="1:11">
      <c r="A2" s="8"/>
      <c r="B2" s="8"/>
      <c r="D2" s="9"/>
      <c r="E2" s="9"/>
      <c r="F2" s="114"/>
      <c r="G2" s="114"/>
      <c r="H2" s="114"/>
      <c r="I2" s="114"/>
      <c r="J2" s="114"/>
      <c r="K2" s="114"/>
    </row>
    <row r="3" spans="1:11">
      <c r="A3" s="8"/>
      <c r="B3" s="8"/>
      <c r="D3" s="9"/>
      <c r="E3" s="9"/>
      <c r="F3" s="113" t="s">
        <v>11</v>
      </c>
      <c r="G3" s="110"/>
      <c r="H3" s="110"/>
      <c r="I3" s="110"/>
      <c r="J3" s="110"/>
      <c r="K3" s="110"/>
    </row>
    <row r="4" spans="1:11">
      <c r="A4" s="8"/>
      <c r="B4" s="8"/>
      <c r="D4" s="9"/>
      <c r="E4" s="9"/>
      <c r="F4" s="110"/>
      <c r="G4" s="110"/>
      <c r="H4" s="110"/>
      <c r="I4" s="110"/>
      <c r="J4" s="110"/>
      <c r="K4" s="110"/>
    </row>
    <row r="5" spans="1:11">
      <c r="A5" s="10"/>
      <c r="B5" s="10"/>
      <c r="C5" s="10"/>
      <c r="D5" s="1"/>
      <c r="E5" s="1"/>
      <c r="F5" s="1"/>
      <c r="G5" s="1"/>
      <c r="H5" s="1"/>
      <c r="I5" s="1"/>
      <c r="J5" s="1"/>
      <c r="K5" s="1"/>
    </row>
    <row r="6" spans="1:11">
      <c r="A6" s="10"/>
      <c r="B6" s="10"/>
      <c r="C6" s="10"/>
      <c r="D6" s="1"/>
      <c r="E6" s="1"/>
      <c r="F6" s="1"/>
      <c r="G6" s="1"/>
      <c r="H6" s="1"/>
      <c r="I6" s="1"/>
      <c r="J6" s="1"/>
      <c r="K6" s="1"/>
    </row>
    <row r="7" spans="1:11">
      <c r="A7" s="115" t="s">
        <v>12</v>
      </c>
      <c r="B7" s="110"/>
      <c r="C7" s="110"/>
      <c r="D7" s="110"/>
      <c r="E7" s="110"/>
      <c r="F7" s="110"/>
      <c r="G7" s="110"/>
      <c r="H7" s="110"/>
      <c r="I7" s="110"/>
      <c r="J7" s="110"/>
      <c r="K7" s="110"/>
    </row>
    <row r="8" spans="1:11">
      <c r="A8" s="1"/>
      <c r="B8" s="1"/>
      <c r="C8" s="1"/>
      <c r="D8" s="1"/>
      <c r="E8" s="1"/>
      <c r="F8" s="1"/>
      <c r="G8" s="1"/>
      <c r="H8" s="1"/>
      <c r="I8" s="1"/>
      <c r="J8" s="1"/>
      <c r="K8" s="1"/>
    </row>
    <row r="9" spans="1:11">
      <c r="A9" s="11" t="s">
        <v>13</v>
      </c>
      <c r="B9" s="1"/>
      <c r="C9" s="1"/>
      <c r="D9" s="1"/>
      <c r="E9" s="1"/>
      <c r="F9" s="1"/>
      <c r="G9" s="1"/>
      <c r="H9" s="1"/>
      <c r="I9" s="1"/>
      <c r="J9" s="1"/>
      <c r="K9" s="1"/>
    </row>
    <row r="10" spans="1:11">
      <c r="A10" s="12"/>
      <c r="B10" s="13" t="s">
        <v>14</v>
      </c>
      <c r="C10" s="1"/>
      <c r="D10" s="1"/>
      <c r="E10" s="1"/>
      <c r="F10" s="1"/>
      <c r="G10" s="1"/>
      <c r="H10" s="1"/>
      <c r="I10" s="1"/>
      <c r="J10" s="1"/>
      <c r="K10" s="1"/>
    </row>
    <row r="11" spans="1:11">
      <c r="A11" s="12"/>
      <c r="B11" s="13" t="s">
        <v>15</v>
      </c>
      <c r="C11" s="1"/>
      <c r="D11" s="1"/>
      <c r="E11" s="1"/>
      <c r="F11" s="5"/>
      <c r="G11" s="1"/>
      <c r="H11" s="1"/>
      <c r="I11" s="1"/>
      <c r="J11" s="1"/>
      <c r="K11" s="1"/>
    </row>
    <row r="12" spans="1:11">
      <c r="A12" s="12"/>
      <c r="B12" s="1"/>
      <c r="C12" s="1"/>
      <c r="D12" s="1"/>
      <c r="E12" s="1"/>
      <c r="F12" s="1"/>
      <c r="G12" s="1"/>
      <c r="H12" s="1"/>
      <c r="I12" s="1"/>
      <c r="J12" s="1"/>
      <c r="K12" s="1"/>
    </row>
    <row r="13" spans="1:11">
      <c r="A13" s="12" t="s">
        <v>16</v>
      </c>
      <c r="B13" s="1"/>
      <c r="C13" s="1"/>
      <c r="D13" s="1"/>
      <c r="E13" s="1"/>
      <c r="F13" s="1"/>
      <c r="G13" s="1"/>
      <c r="H13" s="1"/>
      <c r="I13" s="1"/>
      <c r="J13" s="1"/>
      <c r="K13" s="1"/>
    </row>
    <row r="14" spans="1:11">
      <c r="A14" s="1"/>
      <c r="B14" s="14" t="s">
        <v>17</v>
      </c>
      <c r="C14" s="1"/>
      <c r="D14" s="1"/>
      <c r="E14" s="1"/>
      <c r="F14" s="1"/>
      <c r="G14" s="1"/>
      <c r="H14" s="1"/>
      <c r="I14" s="1"/>
      <c r="J14" s="1"/>
      <c r="K14" s="1"/>
    </row>
    <row r="15" spans="1:11">
      <c r="A15" s="1"/>
      <c r="B15" s="1"/>
      <c r="C15" s="15" t="s">
        <v>18</v>
      </c>
      <c r="D15" s="1"/>
      <c r="E15" s="1"/>
      <c r="F15" s="5"/>
      <c r="G15" s="1"/>
      <c r="H15" s="1"/>
      <c r="I15" s="1"/>
      <c r="J15" s="1"/>
      <c r="K15" s="1"/>
    </row>
    <row r="16" spans="1:11">
      <c r="A16" s="1"/>
      <c r="B16" s="1"/>
      <c r="C16" s="15" t="s">
        <v>19</v>
      </c>
      <c r="D16" s="1"/>
      <c r="E16" s="1"/>
      <c r="F16" s="1"/>
      <c r="G16" s="1"/>
      <c r="H16" s="1"/>
      <c r="I16" s="1"/>
      <c r="J16" s="1"/>
      <c r="K16" s="1"/>
    </row>
    <row r="17" spans="1:11">
      <c r="A17" s="1"/>
      <c r="B17" s="1"/>
      <c r="C17" s="1"/>
      <c r="D17" s="1"/>
      <c r="E17" s="1"/>
      <c r="F17" s="1"/>
      <c r="G17" s="1"/>
      <c r="H17" s="1"/>
      <c r="I17" s="1"/>
      <c r="J17" s="1"/>
      <c r="K17" s="1"/>
    </row>
    <row r="18" spans="1:11">
      <c r="A18" s="1"/>
      <c r="B18" s="1"/>
      <c r="C18" s="1"/>
      <c r="D18" s="1"/>
      <c r="E18" s="1"/>
      <c r="F18" s="1"/>
      <c r="G18" s="1"/>
      <c r="H18" s="1"/>
      <c r="I18" s="1"/>
      <c r="J18" s="1"/>
      <c r="K18" s="1"/>
    </row>
    <row r="19" spans="1:11">
      <c r="A19" s="11" t="s">
        <v>20</v>
      </c>
      <c r="B19" s="1"/>
      <c r="C19" s="1"/>
      <c r="D19" s="1"/>
      <c r="E19" s="1"/>
      <c r="F19" s="1"/>
      <c r="G19" s="1"/>
      <c r="H19" s="1"/>
      <c r="I19" s="1"/>
      <c r="J19" s="1"/>
      <c r="K19" s="1"/>
    </row>
    <row r="20" spans="1:11">
      <c r="A20" s="1"/>
      <c r="B20" s="14" t="s">
        <v>21</v>
      </c>
      <c r="C20" s="1"/>
      <c r="D20" s="1"/>
      <c r="E20" s="1"/>
      <c r="F20" s="1"/>
      <c r="G20" s="1"/>
      <c r="H20" s="1"/>
      <c r="I20" s="1"/>
      <c r="J20" s="1"/>
      <c r="K20" s="1"/>
    </row>
    <row r="21" spans="1:11">
      <c r="A21" s="1"/>
      <c r="B21" s="1"/>
      <c r="C21" s="15" t="s">
        <v>18</v>
      </c>
      <c r="D21" s="1"/>
      <c r="E21" s="1"/>
      <c r="F21" s="1"/>
      <c r="G21" s="1"/>
      <c r="H21" s="1"/>
      <c r="I21" s="1"/>
      <c r="J21" s="1"/>
      <c r="K21" s="1"/>
    </row>
    <row r="22" spans="1:11">
      <c r="A22" s="1"/>
      <c r="B22" s="1"/>
      <c r="C22" s="15" t="s">
        <v>22</v>
      </c>
      <c r="D22" s="1"/>
      <c r="E22" s="1"/>
      <c r="F22" s="1"/>
      <c r="G22" s="1"/>
      <c r="H22" s="1"/>
      <c r="I22" s="1"/>
      <c r="J22" s="1"/>
      <c r="K22" s="1"/>
    </row>
    <row r="23" spans="1:11">
      <c r="A23" s="1"/>
      <c r="B23" s="1"/>
      <c r="C23" s="15" t="s">
        <v>23</v>
      </c>
      <c r="D23" s="1"/>
      <c r="E23" s="1"/>
      <c r="F23" s="1"/>
      <c r="G23" s="1"/>
      <c r="H23" s="1"/>
      <c r="I23" s="1"/>
      <c r="J23" s="1"/>
      <c r="K23" s="1"/>
    </row>
    <row r="24" spans="1:11">
      <c r="A24" s="1"/>
      <c r="B24" s="1"/>
      <c r="C24" s="1"/>
      <c r="D24" s="1"/>
      <c r="E24" s="1"/>
      <c r="F24" s="1"/>
      <c r="G24" s="1"/>
      <c r="H24" s="1"/>
      <c r="I24" s="1"/>
      <c r="J24" s="1"/>
      <c r="K24" s="1"/>
    </row>
    <row r="25" spans="1:11">
      <c r="A25" s="1"/>
      <c r="B25" s="14" t="s">
        <v>24</v>
      </c>
      <c r="C25" s="1"/>
      <c r="D25" s="1"/>
      <c r="E25" s="1"/>
      <c r="F25" s="1"/>
      <c r="G25" s="1"/>
      <c r="H25" s="1"/>
      <c r="I25" s="1"/>
      <c r="J25" s="1"/>
      <c r="K25" s="1"/>
    </row>
    <row r="26" spans="1:11">
      <c r="A26" s="1"/>
      <c r="B26" s="1"/>
      <c r="C26" s="15" t="s">
        <v>18</v>
      </c>
      <c r="D26" s="1"/>
      <c r="E26" s="1"/>
      <c r="F26" s="1"/>
      <c r="G26" s="1"/>
      <c r="H26" s="1"/>
      <c r="I26" s="1"/>
      <c r="J26" s="1"/>
      <c r="K26" s="1"/>
    </row>
    <row r="27" spans="1:11">
      <c r="A27" s="1"/>
      <c r="B27" s="1"/>
      <c r="C27" s="15" t="s">
        <v>25</v>
      </c>
      <c r="D27" s="1"/>
      <c r="E27" s="1"/>
      <c r="F27" s="1"/>
      <c r="G27" s="1"/>
      <c r="H27" s="1"/>
      <c r="I27" s="1"/>
      <c r="J27" s="1"/>
      <c r="K27" s="1"/>
    </row>
    <row r="28" spans="1:11">
      <c r="A28" s="1"/>
      <c r="B28" s="1"/>
      <c r="C28" s="15" t="s">
        <v>26</v>
      </c>
      <c r="D28" s="16"/>
      <c r="E28" s="16"/>
      <c r="F28" s="16"/>
      <c r="G28" s="16"/>
      <c r="H28" s="16"/>
      <c r="I28" s="16"/>
      <c r="J28" s="16"/>
      <c r="K28" s="16"/>
    </row>
    <row r="29" spans="1:11">
      <c r="A29" s="1"/>
      <c r="B29" s="1"/>
      <c r="C29" s="1"/>
      <c r="D29" s="1"/>
      <c r="E29" s="1"/>
      <c r="F29" s="1"/>
      <c r="G29" s="1"/>
      <c r="H29" s="1"/>
      <c r="I29" s="1"/>
      <c r="J29" s="1"/>
      <c r="K29" s="1"/>
    </row>
    <row r="30" spans="1:11">
      <c r="A30" s="1"/>
      <c r="B30" s="14" t="s">
        <v>27</v>
      </c>
      <c r="C30" s="1"/>
      <c r="D30" s="1"/>
      <c r="E30" s="1"/>
      <c r="F30" s="1"/>
      <c r="G30" s="1"/>
      <c r="H30" s="1"/>
      <c r="I30" s="1"/>
      <c r="J30" s="1"/>
      <c r="K30" s="1"/>
    </row>
    <row r="31" spans="1:11">
      <c r="A31" s="1"/>
      <c r="B31" s="1"/>
      <c r="C31" s="15" t="s">
        <v>18</v>
      </c>
      <c r="D31" s="1"/>
      <c r="E31" s="1"/>
      <c r="F31" s="1"/>
      <c r="G31" s="1"/>
      <c r="H31" s="1"/>
      <c r="I31" s="1"/>
      <c r="J31" s="1"/>
      <c r="K31" s="1"/>
    </row>
    <row r="32" spans="1:11">
      <c r="A32" s="1"/>
      <c r="B32" s="1"/>
      <c r="C32" s="15" t="s">
        <v>25</v>
      </c>
      <c r="D32" s="1"/>
      <c r="E32" s="1"/>
      <c r="F32" s="1"/>
      <c r="G32" s="1"/>
      <c r="H32" s="1"/>
      <c r="I32" s="1"/>
      <c r="J32" s="1"/>
      <c r="K32" s="1"/>
    </row>
    <row r="33" spans="1:11">
      <c r="A33" s="1"/>
      <c r="B33" s="1"/>
      <c r="C33" s="15" t="s">
        <v>28</v>
      </c>
      <c r="D33" s="17"/>
      <c r="E33" s="17"/>
      <c r="F33" s="17"/>
      <c r="G33" s="17"/>
      <c r="H33" s="17"/>
      <c r="I33" s="17"/>
      <c r="J33" s="17"/>
      <c r="K33" s="17"/>
    </row>
    <row r="34" spans="1:11">
      <c r="A34" s="1"/>
      <c r="B34" s="1"/>
      <c r="C34" s="1"/>
      <c r="D34" s="1"/>
      <c r="E34" s="1"/>
      <c r="F34" s="1"/>
      <c r="G34" s="1"/>
      <c r="H34" s="1"/>
      <c r="I34" s="1"/>
      <c r="J34" s="1"/>
      <c r="K34" s="1"/>
    </row>
    <row r="35" spans="1:11">
      <c r="A35" s="1"/>
      <c r="B35" s="14" t="s">
        <v>29</v>
      </c>
      <c r="C35" s="1"/>
      <c r="D35" s="1"/>
      <c r="E35" s="1"/>
      <c r="F35" s="1"/>
      <c r="G35" s="1"/>
      <c r="H35" s="1"/>
      <c r="I35" s="1"/>
      <c r="J35" s="1"/>
      <c r="K35" s="1"/>
    </row>
    <row r="36" spans="1:11">
      <c r="A36" s="1"/>
      <c r="B36" s="1"/>
      <c r="C36" s="15" t="s">
        <v>18</v>
      </c>
      <c r="D36" s="1"/>
      <c r="E36" s="1"/>
      <c r="F36" s="1"/>
      <c r="G36" s="1"/>
      <c r="H36" s="1"/>
      <c r="I36" s="1"/>
      <c r="J36" s="1"/>
      <c r="K36" s="1"/>
    </row>
    <row r="37" spans="1:11">
      <c r="A37" s="1"/>
      <c r="B37" s="1"/>
      <c r="C37" s="15" t="s">
        <v>25</v>
      </c>
      <c r="D37" s="1"/>
      <c r="E37" s="1"/>
      <c r="F37" s="1"/>
      <c r="G37" s="1"/>
      <c r="H37" s="1"/>
      <c r="I37" s="1"/>
      <c r="J37" s="1"/>
      <c r="K37" s="1"/>
    </row>
    <row r="38" spans="1:11">
      <c r="A38" s="1"/>
      <c r="B38" s="1"/>
      <c r="C38" s="15" t="s">
        <v>30</v>
      </c>
      <c r="D38" s="17"/>
      <c r="E38" s="17"/>
      <c r="F38" s="17"/>
      <c r="G38" s="17"/>
      <c r="H38" s="17"/>
      <c r="I38" s="17"/>
      <c r="J38" s="17"/>
      <c r="K38" s="17"/>
    </row>
    <row r="39" spans="1:11">
      <c r="A39" s="1"/>
      <c r="B39" s="1"/>
      <c r="C39" s="1"/>
      <c r="D39" s="1"/>
      <c r="E39" s="1"/>
      <c r="F39" s="1"/>
      <c r="G39" s="1"/>
      <c r="H39" s="1"/>
      <c r="I39" s="1"/>
      <c r="J39" s="1"/>
      <c r="K39" s="1"/>
    </row>
    <row r="40" spans="1:11">
      <c r="A40" s="1"/>
      <c r="B40" s="14" t="s">
        <v>31</v>
      </c>
      <c r="C40" s="1"/>
      <c r="D40" s="1"/>
      <c r="E40" s="1"/>
      <c r="F40" s="1"/>
      <c r="G40" s="1"/>
      <c r="H40" s="1"/>
      <c r="I40" s="1"/>
      <c r="J40" s="1"/>
      <c r="K40" s="1"/>
    </row>
    <row r="41" spans="1:11">
      <c r="A41" s="1"/>
      <c r="B41" s="1"/>
      <c r="C41" s="1"/>
      <c r="D41" s="1"/>
      <c r="E41" s="1"/>
      <c r="F41" s="1"/>
      <c r="G41" s="1"/>
      <c r="H41" s="1"/>
      <c r="I41" s="1"/>
      <c r="J41" s="1"/>
      <c r="K41" s="1"/>
    </row>
    <row r="42" spans="1:11">
      <c r="A42" s="1"/>
      <c r="B42" s="1"/>
      <c r="C42" s="1"/>
      <c r="D42" s="1"/>
      <c r="E42" s="1"/>
      <c r="F42" s="1"/>
      <c r="G42" s="1"/>
      <c r="H42" s="1"/>
      <c r="I42" s="1"/>
      <c r="J42" s="1"/>
      <c r="K42" s="1"/>
    </row>
    <row r="43" spans="1:11">
      <c r="A43" s="11" t="s">
        <v>32</v>
      </c>
      <c r="B43" s="14" t="s">
        <v>33</v>
      </c>
      <c r="C43" s="1"/>
      <c r="D43" s="1"/>
      <c r="E43" s="1"/>
      <c r="F43" s="1"/>
      <c r="G43" s="1"/>
      <c r="H43" s="1"/>
      <c r="I43" s="1"/>
      <c r="J43" s="1"/>
      <c r="K43" s="1"/>
    </row>
    <row r="44" spans="1:11">
      <c r="A44" s="12"/>
      <c r="B44" s="1"/>
      <c r="C44" s="15" t="s">
        <v>18</v>
      </c>
      <c r="D44" s="1"/>
      <c r="E44" s="1"/>
      <c r="F44" s="1"/>
      <c r="G44" s="1"/>
      <c r="H44" s="1"/>
      <c r="I44" s="1"/>
      <c r="J44" s="1"/>
      <c r="K44" s="1"/>
    </row>
    <row r="45" spans="1:11">
      <c r="A45" s="12"/>
      <c r="B45" s="1"/>
      <c r="C45" s="15" t="s">
        <v>34</v>
      </c>
      <c r="D45" s="1"/>
      <c r="E45" s="1"/>
      <c r="F45" s="1"/>
      <c r="G45" s="1"/>
      <c r="H45" s="1"/>
      <c r="I45" s="1"/>
      <c r="J45" s="1"/>
      <c r="K45" s="1"/>
    </row>
    <row r="46" spans="1:11">
      <c r="A46" s="12"/>
      <c r="B46" s="1"/>
      <c r="C46" s="15" t="s">
        <v>35</v>
      </c>
      <c r="D46" s="1"/>
      <c r="E46" s="1"/>
      <c r="F46" s="1"/>
      <c r="G46" s="1"/>
      <c r="H46" s="1"/>
      <c r="I46" s="1"/>
      <c r="J46" s="1"/>
      <c r="K46" s="1"/>
    </row>
    <row r="47" spans="1:11">
      <c r="A47" s="12"/>
      <c r="B47" s="1"/>
      <c r="C47" s="18"/>
      <c r="D47" s="1"/>
      <c r="E47" s="1"/>
      <c r="F47" s="1"/>
      <c r="G47" s="1"/>
      <c r="H47" s="1"/>
      <c r="I47" s="1"/>
      <c r="J47" s="1"/>
      <c r="K47" s="1"/>
    </row>
    <row r="48" spans="1:11">
      <c r="A48" s="12"/>
      <c r="B48" s="14" t="s">
        <v>36</v>
      </c>
      <c r="C48" s="18"/>
      <c r="D48" s="1"/>
      <c r="E48" s="1"/>
      <c r="F48" s="1"/>
      <c r="G48" s="1"/>
      <c r="H48" s="1"/>
      <c r="I48" s="1"/>
      <c r="J48" s="1"/>
      <c r="K48" s="1"/>
    </row>
    <row r="49" spans="1:11">
      <c r="A49" s="12"/>
      <c r="B49" s="1"/>
      <c r="C49" s="18"/>
      <c r="D49" s="1"/>
      <c r="E49" s="1"/>
      <c r="F49" s="1"/>
      <c r="G49" s="1"/>
      <c r="H49" s="1"/>
      <c r="I49" s="1"/>
      <c r="J49" s="1"/>
      <c r="K49" s="1"/>
    </row>
    <row r="50" spans="1:11">
      <c r="A50" s="12"/>
      <c r="B50" s="1"/>
      <c r="C50" s="18"/>
      <c r="D50" s="1"/>
      <c r="E50" s="1"/>
      <c r="F50" s="1"/>
      <c r="G50" s="1"/>
      <c r="H50" s="1"/>
      <c r="I50" s="1"/>
      <c r="J50" s="1"/>
      <c r="K50" s="1"/>
    </row>
    <row r="51" spans="1:11">
      <c r="A51" s="12" t="s">
        <v>37</v>
      </c>
      <c r="B51" s="1"/>
      <c r="C51" s="1"/>
      <c r="D51" s="1"/>
      <c r="E51" s="1"/>
      <c r="F51" s="1"/>
      <c r="G51" s="1"/>
      <c r="H51" s="1"/>
      <c r="I51" s="1"/>
      <c r="J51" s="1"/>
      <c r="K51" s="1"/>
    </row>
    <row r="52" spans="1:11">
      <c r="A52" s="1"/>
      <c r="B52" s="14" t="s">
        <v>38</v>
      </c>
      <c r="C52" s="1"/>
      <c r="D52" s="1"/>
      <c r="E52" s="1"/>
      <c r="F52" s="1"/>
      <c r="G52" s="1"/>
      <c r="H52" s="1"/>
      <c r="I52" s="1"/>
      <c r="J52" s="1"/>
      <c r="K52" s="1"/>
    </row>
    <row r="53" spans="1:11">
      <c r="A53" s="1"/>
      <c r="B53" s="1"/>
      <c r="C53" s="15" t="s">
        <v>39</v>
      </c>
      <c r="D53" s="15"/>
      <c r="E53" s="15"/>
      <c r="F53" s="15"/>
      <c r="G53" s="15"/>
      <c r="H53" s="15"/>
      <c r="I53" s="15"/>
      <c r="J53" s="15"/>
      <c r="K53" s="15"/>
    </row>
    <row r="54" spans="1:11">
      <c r="A54" s="1"/>
      <c r="B54" s="1"/>
      <c r="C54" s="1"/>
      <c r="D54" s="1"/>
      <c r="E54" s="1"/>
      <c r="F54" s="1"/>
      <c r="G54" s="1"/>
      <c r="H54" s="1"/>
      <c r="I54" s="1"/>
      <c r="J54" s="1"/>
      <c r="K54" s="1"/>
    </row>
    <row r="55" spans="1:11">
      <c r="A55" s="1"/>
      <c r="B55" s="14" t="s">
        <v>40</v>
      </c>
      <c r="C55" s="1"/>
      <c r="D55" s="1"/>
      <c r="E55" s="1"/>
      <c r="F55" s="1"/>
      <c r="G55" s="1"/>
      <c r="H55" s="1"/>
      <c r="I55" s="1"/>
      <c r="J55" s="1"/>
      <c r="K55" s="1"/>
    </row>
    <row r="56" spans="1:11">
      <c r="A56" s="1"/>
      <c r="B56" s="1"/>
      <c r="C56" s="1"/>
      <c r="D56" s="1"/>
      <c r="E56" s="1"/>
      <c r="F56" s="1"/>
      <c r="G56" s="1"/>
      <c r="H56" s="1"/>
      <c r="I56" s="1"/>
      <c r="J56" s="1"/>
      <c r="K56" s="1"/>
    </row>
    <row r="57" spans="1:11">
      <c r="A57" s="1"/>
      <c r="B57" s="1"/>
      <c r="C57" s="1"/>
      <c r="D57" s="1"/>
      <c r="E57" s="1"/>
      <c r="F57" s="1"/>
      <c r="G57" s="1"/>
      <c r="H57" s="1"/>
      <c r="I57" s="1"/>
      <c r="J57" s="1"/>
      <c r="K57" s="1"/>
    </row>
    <row r="58" spans="1:11">
      <c r="A58" s="12" t="s">
        <v>41</v>
      </c>
      <c r="B58" s="1"/>
      <c r="C58" s="1"/>
      <c r="D58" s="1"/>
      <c r="E58" s="1"/>
      <c r="F58" s="1"/>
      <c r="G58" s="1"/>
      <c r="H58" s="1"/>
      <c r="I58" s="1"/>
      <c r="J58" s="1"/>
      <c r="K58" s="1"/>
    </row>
    <row r="59" spans="1:11">
      <c r="A59" s="1"/>
      <c r="B59" s="14" t="s">
        <v>42</v>
      </c>
      <c r="C59" s="1"/>
      <c r="D59" s="1"/>
      <c r="E59" s="1"/>
      <c r="F59" s="1"/>
      <c r="G59" s="1"/>
      <c r="H59" s="1"/>
      <c r="I59" s="1"/>
      <c r="J59" s="1"/>
      <c r="K59" s="1"/>
    </row>
    <row r="60" spans="1:11">
      <c r="A60" s="1"/>
      <c r="B60" s="1"/>
      <c r="C60" s="15" t="s">
        <v>43</v>
      </c>
      <c r="D60" s="17"/>
      <c r="E60" s="17"/>
      <c r="F60" s="17"/>
      <c r="G60" s="17"/>
      <c r="H60" s="17"/>
      <c r="I60" s="17"/>
      <c r="J60" s="17"/>
      <c r="K60" s="17"/>
    </row>
    <row r="61" spans="1:11">
      <c r="A61" s="1"/>
      <c r="B61" s="1"/>
      <c r="C61" s="1"/>
      <c r="D61" s="1"/>
      <c r="E61" s="1"/>
      <c r="F61" s="1"/>
      <c r="G61" s="1"/>
      <c r="H61" s="1"/>
      <c r="I61" s="1"/>
      <c r="J61" s="1"/>
      <c r="K61" s="1"/>
    </row>
    <row r="62" spans="1:11">
      <c r="A62" s="1"/>
      <c r="B62" s="14" t="s">
        <v>44</v>
      </c>
      <c r="C62" s="1"/>
      <c r="D62" s="1"/>
      <c r="E62" s="1"/>
      <c r="F62" s="1"/>
      <c r="G62" s="1"/>
      <c r="H62" s="1"/>
      <c r="I62" s="1"/>
      <c r="J62" s="1"/>
      <c r="K62" s="1"/>
    </row>
    <row r="63" spans="1:11">
      <c r="A63" s="1"/>
      <c r="B63" s="1"/>
      <c r="C63" s="1"/>
      <c r="D63" s="1"/>
      <c r="E63" s="1"/>
      <c r="F63" s="1"/>
      <c r="G63" s="1"/>
      <c r="H63" s="1"/>
      <c r="I63" s="1"/>
      <c r="J63" s="1"/>
      <c r="K63" s="1"/>
    </row>
    <row r="64" spans="1:11">
      <c r="A64" s="1"/>
      <c r="B64" s="1"/>
      <c r="C64" s="1"/>
      <c r="D64" s="1"/>
      <c r="E64" s="1"/>
      <c r="F64" s="1"/>
      <c r="G64" s="1"/>
      <c r="H64" s="1"/>
      <c r="I64" s="1"/>
      <c r="J64" s="1"/>
      <c r="K64" s="1"/>
    </row>
    <row r="65" spans="1:11">
      <c r="A65" s="12" t="s">
        <v>45</v>
      </c>
      <c r="B65" s="1"/>
      <c r="C65" s="1"/>
      <c r="D65" s="1"/>
      <c r="E65" s="1"/>
      <c r="F65" s="1"/>
      <c r="G65" s="1"/>
      <c r="H65" s="1"/>
      <c r="I65" s="1"/>
      <c r="J65" s="1"/>
      <c r="K65" s="1"/>
    </row>
    <row r="66" spans="1:11">
      <c r="A66" s="1"/>
      <c r="B66" s="14" t="s">
        <v>46</v>
      </c>
      <c r="C66" s="1"/>
      <c r="D66" s="1"/>
      <c r="E66" s="1"/>
      <c r="F66" s="1"/>
      <c r="G66" s="1"/>
      <c r="H66" s="1"/>
      <c r="I66" s="1"/>
      <c r="J66" s="1"/>
      <c r="K66" s="1"/>
    </row>
    <row r="67" spans="1:11">
      <c r="A67" s="1"/>
      <c r="B67" s="1"/>
      <c r="C67" s="15"/>
      <c r="D67" s="1"/>
      <c r="E67" s="1"/>
      <c r="F67" s="1"/>
      <c r="G67" s="1"/>
      <c r="H67" s="1"/>
      <c r="I67" s="1"/>
      <c r="J67" s="1"/>
      <c r="K67" s="1"/>
    </row>
    <row r="68" spans="1:11">
      <c r="A68" s="1"/>
      <c r="B68" s="1"/>
      <c r="C68" s="15"/>
      <c r="D68" s="1"/>
      <c r="E68" s="1"/>
      <c r="F68" s="1"/>
      <c r="G68" s="1"/>
      <c r="H68" s="1"/>
      <c r="I68" s="1"/>
      <c r="J68" s="1"/>
      <c r="K68" s="1"/>
    </row>
    <row r="69" spans="1:11">
      <c r="A69" s="19" t="s">
        <v>47</v>
      </c>
      <c r="B69" s="116" t="s">
        <v>48</v>
      </c>
      <c r="C69" s="110"/>
      <c r="D69" s="110"/>
      <c r="E69" s="110"/>
      <c r="F69" s="110"/>
      <c r="G69" s="110"/>
      <c r="H69" s="110"/>
      <c r="I69" s="110"/>
      <c r="J69" s="110"/>
      <c r="K69" s="110"/>
    </row>
    <row r="70" spans="1:11">
      <c r="A70" s="1"/>
      <c r="B70" s="116" t="s">
        <v>49</v>
      </c>
      <c r="C70" s="110"/>
      <c r="D70" s="110"/>
      <c r="E70" s="110"/>
      <c r="F70" s="110"/>
      <c r="G70" s="110"/>
      <c r="H70" s="110"/>
      <c r="I70" s="110"/>
      <c r="J70" s="110"/>
      <c r="K70" s="110"/>
    </row>
    <row r="71" spans="1:11">
      <c r="A71" s="1"/>
      <c r="B71" s="1"/>
      <c r="C71" s="1"/>
      <c r="D71" s="1"/>
      <c r="E71" s="1"/>
      <c r="F71" s="1"/>
      <c r="G71" s="1"/>
      <c r="H71" s="1"/>
      <c r="I71" s="1"/>
      <c r="J71" s="1"/>
      <c r="K71" s="1"/>
    </row>
    <row r="72" spans="1:11">
      <c r="A72" s="1"/>
      <c r="B72" s="1"/>
      <c r="C72" s="1"/>
      <c r="D72" s="1"/>
      <c r="E72" s="1"/>
      <c r="F72" s="1"/>
      <c r="G72" s="1"/>
      <c r="H72" s="1"/>
      <c r="I72" s="1"/>
      <c r="J72" s="1"/>
      <c r="K72" s="1"/>
    </row>
    <row r="73" spans="1:11">
      <c r="A73" s="19" t="s">
        <v>50</v>
      </c>
      <c r="B73" s="1"/>
      <c r="C73" s="1"/>
      <c r="D73" s="1"/>
      <c r="E73" s="1"/>
      <c r="F73" s="1"/>
      <c r="G73" s="1"/>
      <c r="H73" s="1"/>
      <c r="I73" s="1"/>
      <c r="J73" s="1"/>
      <c r="K73" s="1"/>
    </row>
    <row r="74" spans="1:11">
      <c r="A74" s="1"/>
      <c r="B74" s="1"/>
      <c r="C74" s="1"/>
      <c r="D74" s="1"/>
      <c r="E74" s="1"/>
      <c r="F74" s="1"/>
      <c r="G74" s="1"/>
      <c r="H74" s="1"/>
      <c r="I74" s="1"/>
      <c r="J74" s="1"/>
      <c r="K74" s="1"/>
    </row>
    <row r="75" spans="1:11" ht="15.75" customHeight="1">
      <c r="B75" s="117" t="s">
        <v>51</v>
      </c>
      <c r="C75" s="118"/>
      <c r="D75" s="20"/>
      <c r="E75" s="21" t="s">
        <v>52</v>
      </c>
      <c r="F75" s="20"/>
      <c r="G75" s="22" t="s">
        <v>53</v>
      </c>
      <c r="H75" s="23"/>
      <c r="I75" s="21" t="s">
        <v>54</v>
      </c>
      <c r="J75" s="22" t="s">
        <v>55</v>
      </c>
      <c r="K75" s="22" t="s">
        <v>56</v>
      </c>
    </row>
    <row r="76" spans="1:11" ht="15.75" customHeight="1">
      <c r="B76" s="119">
        <v>46266</v>
      </c>
      <c r="C76" s="118"/>
      <c r="D76" s="24"/>
      <c r="E76" s="25" t="s">
        <v>57</v>
      </c>
      <c r="F76" s="24"/>
      <c r="G76" s="25" t="s">
        <v>57</v>
      </c>
      <c r="H76" s="26" t="s">
        <v>58</v>
      </c>
      <c r="I76" s="27">
        <v>46568</v>
      </c>
      <c r="J76" s="28" t="s">
        <v>59</v>
      </c>
      <c r="K76" s="28"/>
    </row>
    <row r="77" spans="1:11" ht="15.75" customHeight="1">
      <c r="B77" s="119">
        <v>45901</v>
      </c>
      <c r="C77" s="118"/>
      <c r="D77" s="24"/>
      <c r="E77" s="25" t="s">
        <v>60</v>
      </c>
      <c r="F77" s="24"/>
      <c r="G77" s="25" t="s">
        <v>60</v>
      </c>
      <c r="H77" s="26" t="s">
        <v>58</v>
      </c>
      <c r="I77" s="27">
        <v>46203</v>
      </c>
      <c r="J77" s="28" t="s">
        <v>59</v>
      </c>
      <c r="K77" s="28"/>
    </row>
    <row r="78" spans="1:11" ht="15.75" customHeight="1">
      <c r="B78" s="119">
        <v>45536</v>
      </c>
      <c r="C78" s="118"/>
      <c r="D78" s="24"/>
      <c r="E78" s="25" t="s">
        <v>61</v>
      </c>
      <c r="F78" s="24"/>
      <c r="G78" s="28" t="s">
        <v>61</v>
      </c>
      <c r="H78" s="26" t="s">
        <v>58</v>
      </c>
      <c r="I78" s="27">
        <v>45838</v>
      </c>
      <c r="J78" s="28" t="s">
        <v>62</v>
      </c>
      <c r="K78" s="28"/>
    </row>
    <row r="79" spans="1:11" ht="15.75" customHeight="1">
      <c r="B79" s="119">
        <v>45170</v>
      </c>
      <c r="C79" s="118"/>
      <c r="D79" s="123" t="s">
        <v>63</v>
      </c>
      <c r="E79" s="25" t="s">
        <v>64</v>
      </c>
      <c r="F79" s="123" t="s">
        <v>63</v>
      </c>
      <c r="G79" s="28" t="s">
        <v>64</v>
      </c>
      <c r="H79" s="26" t="s">
        <v>58</v>
      </c>
      <c r="I79" s="27">
        <v>45473</v>
      </c>
      <c r="J79" s="28" t="s">
        <v>65</v>
      </c>
      <c r="K79" s="28"/>
    </row>
    <row r="80" spans="1:11" ht="15.75" customHeight="1">
      <c r="B80" s="119">
        <v>44805</v>
      </c>
      <c r="C80" s="118"/>
      <c r="D80" s="124"/>
      <c r="E80" s="25" t="s">
        <v>66</v>
      </c>
      <c r="F80" s="124"/>
      <c r="G80" s="29"/>
      <c r="H80" s="30" t="s">
        <v>58</v>
      </c>
      <c r="I80" s="27">
        <v>45107</v>
      </c>
      <c r="J80" s="28" t="s">
        <v>67</v>
      </c>
      <c r="K80" s="28"/>
    </row>
    <row r="81" spans="1:11" ht="15.75" customHeight="1">
      <c r="B81" s="119">
        <v>44440</v>
      </c>
      <c r="C81" s="118"/>
      <c r="D81" s="124"/>
      <c r="E81" s="25" t="s">
        <v>68</v>
      </c>
      <c r="F81" s="124"/>
      <c r="G81" s="29"/>
      <c r="H81" s="30" t="s">
        <v>58</v>
      </c>
      <c r="I81" s="27">
        <v>44742</v>
      </c>
      <c r="J81" s="28" t="s">
        <v>69</v>
      </c>
      <c r="K81" s="31"/>
    </row>
    <row r="82" spans="1:11" ht="15.75" customHeight="1">
      <c r="B82" s="119">
        <v>44075</v>
      </c>
      <c r="C82" s="118"/>
      <c r="D82" s="124"/>
      <c r="E82" s="32"/>
      <c r="F82" s="124"/>
      <c r="G82" s="29"/>
      <c r="H82" s="30" t="s">
        <v>58</v>
      </c>
      <c r="I82" s="27">
        <v>44742</v>
      </c>
      <c r="J82" s="28" t="s">
        <v>69</v>
      </c>
      <c r="K82" s="33" t="s">
        <v>70</v>
      </c>
    </row>
    <row r="83" spans="1:11" ht="15.75" customHeight="1">
      <c r="B83" s="119">
        <v>43709</v>
      </c>
      <c r="C83" s="118"/>
      <c r="D83" s="124"/>
      <c r="E83" s="32"/>
      <c r="F83" s="124"/>
      <c r="G83" s="29"/>
      <c r="H83" s="30" t="s">
        <v>58</v>
      </c>
      <c r="I83" s="27">
        <v>44742</v>
      </c>
      <c r="J83" s="28" t="s">
        <v>69</v>
      </c>
      <c r="K83" s="33" t="s">
        <v>71</v>
      </c>
    </row>
    <row r="84" spans="1:11" ht="15.75" customHeight="1">
      <c r="B84" s="120"/>
      <c r="C84" s="118"/>
      <c r="D84" s="124"/>
      <c r="E84" s="25" t="s">
        <v>72</v>
      </c>
      <c r="F84" s="124"/>
      <c r="G84" s="29"/>
      <c r="H84" s="30" t="s">
        <v>58</v>
      </c>
      <c r="I84" s="27">
        <v>44377</v>
      </c>
      <c r="J84" s="28" t="s">
        <v>69</v>
      </c>
      <c r="K84" s="31"/>
    </row>
    <row r="85" spans="1:11" ht="15.75" customHeight="1">
      <c r="B85" s="120"/>
      <c r="C85" s="118"/>
      <c r="D85" s="124"/>
      <c r="E85" s="25" t="s">
        <v>73</v>
      </c>
      <c r="F85" s="124"/>
      <c r="G85" s="29"/>
      <c r="H85" s="30" t="s">
        <v>58</v>
      </c>
      <c r="I85" s="27">
        <v>44012</v>
      </c>
      <c r="J85" s="28" t="s">
        <v>69</v>
      </c>
      <c r="K85" s="31"/>
    </row>
    <row r="86" spans="1:11" ht="15.75" customHeight="1">
      <c r="B86" s="119">
        <v>43344</v>
      </c>
      <c r="C86" s="118"/>
      <c r="D86" s="124"/>
      <c r="E86" s="25" t="s">
        <v>74</v>
      </c>
      <c r="F86" s="124"/>
      <c r="G86" s="29"/>
      <c r="H86" s="30" t="s">
        <v>58</v>
      </c>
      <c r="I86" s="27">
        <v>43646</v>
      </c>
      <c r="J86" s="28" t="s">
        <v>69</v>
      </c>
      <c r="K86" s="31"/>
    </row>
    <row r="87" spans="1:11" ht="15.75" customHeight="1">
      <c r="B87" s="119">
        <v>42979</v>
      </c>
      <c r="C87" s="118"/>
      <c r="D87" s="125"/>
      <c r="E87" s="32"/>
      <c r="F87" s="125"/>
      <c r="G87" s="29"/>
      <c r="H87" s="30" t="s">
        <v>58</v>
      </c>
      <c r="I87" s="27">
        <v>43281</v>
      </c>
      <c r="J87" s="28" t="s">
        <v>69</v>
      </c>
      <c r="K87" s="31"/>
    </row>
    <row r="88" spans="1:11">
      <c r="A88" s="1"/>
      <c r="B88" s="121" t="s">
        <v>75</v>
      </c>
      <c r="C88" s="122"/>
      <c r="D88" s="122"/>
      <c r="E88" s="122"/>
      <c r="F88" s="122"/>
      <c r="G88" s="118"/>
      <c r="H88" s="30" t="s">
        <v>58</v>
      </c>
      <c r="I88" s="27">
        <v>42916</v>
      </c>
      <c r="J88" s="28" t="s">
        <v>69</v>
      </c>
      <c r="K88" s="31"/>
    </row>
    <row r="89" spans="1:11">
      <c r="A89" s="1"/>
      <c r="B89" s="1"/>
      <c r="C89" s="1"/>
      <c r="D89" s="1"/>
      <c r="E89" s="1"/>
      <c r="F89" s="1"/>
      <c r="G89" s="1"/>
      <c r="H89" s="1"/>
      <c r="I89" s="1"/>
      <c r="J89" s="1"/>
      <c r="K89" s="1"/>
    </row>
    <row r="90" spans="1:11">
      <c r="A90" s="1"/>
      <c r="B90" s="1"/>
      <c r="C90" s="1"/>
      <c r="D90" s="1"/>
      <c r="E90" s="1"/>
      <c r="F90" s="1"/>
      <c r="G90" s="1"/>
      <c r="H90" s="1"/>
      <c r="I90" s="1"/>
      <c r="J90" s="1"/>
      <c r="K90" s="1"/>
    </row>
    <row r="91" spans="1:11">
      <c r="A91" s="1"/>
      <c r="B91" s="1"/>
      <c r="C91" s="1"/>
      <c r="D91" s="1"/>
      <c r="E91" s="1"/>
      <c r="F91" s="1"/>
      <c r="G91" s="1"/>
      <c r="H91" s="1"/>
      <c r="I91" s="1"/>
      <c r="J91" s="1"/>
      <c r="K91" s="1"/>
    </row>
    <row r="92" spans="1:11">
      <c r="A92" s="1"/>
      <c r="B92" s="1"/>
      <c r="C92" s="1"/>
      <c r="D92" s="1"/>
      <c r="E92" s="1"/>
      <c r="F92" s="1"/>
      <c r="G92" s="1"/>
      <c r="H92" s="1"/>
      <c r="I92" s="1"/>
      <c r="J92" s="1"/>
      <c r="K92" s="1"/>
    </row>
    <row r="93" spans="1:11">
      <c r="A93" s="1"/>
      <c r="B93" s="1"/>
      <c r="C93" s="1"/>
      <c r="D93" s="1"/>
      <c r="E93" s="1"/>
      <c r="F93" s="1"/>
      <c r="G93" s="1"/>
      <c r="H93" s="1"/>
      <c r="I93" s="1"/>
      <c r="J93" s="1"/>
      <c r="K93" s="1"/>
    </row>
    <row r="94" spans="1:11">
      <c r="A94" s="1"/>
      <c r="B94" s="1"/>
      <c r="C94" s="1"/>
      <c r="D94" s="1"/>
      <c r="E94" s="1"/>
      <c r="F94" s="1"/>
      <c r="G94" s="1"/>
      <c r="H94" s="1"/>
      <c r="I94" s="1"/>
      <c r="J94" s="1"/>
      <c r="K94" s="1"/>
    </row>
    <row r="95" spans="1:11">
      <c r="A95" s="1"/>
      <c r="B95" s="1"/>
      <c r="C95" s="1"/>
      <c r="D95" s="1"/>
      <c r="E95" s="1"/>
      <c r="F95" s="1"/>
      <c r="G95" s="1"/>
      <c r="H95" s="1"/>
      <c r="I95" s="1"/>
      <c r="J95" s="1"/>
      <c r="K95" s="1"/>
    </row>
    <row r="96" spans="1:11">
      <c r="A96" s="1"/>
      <c r="B96" s="1"/>
      <c r="C96" s="1"/>
      <c r="D96" s="1"/>
      <c r="E96" s="1"/>
      <c r="F96" s="1"/>
      <c r="G96" s="1"/>
      <c r="H96" s="1"/>
      <c r="I96" s="1"/>
      <c r="J96" s="1"/>
      <c r="K96" s="1"/>
    </row>
    <row r="97" spans="1:11">
      <c r="A97" s="1"/>
      <c r="B97" s="1"/>
      <c r="C97" s="1"/>
      <c r="D97" s="1"/>
      <c r="E97" s="1"/>
      <c r="F97" s="1"/>
      <c r="G97" s="1"/>
      <c r="H97" s="1"/>
      <c r="I97" s="1"/>
      <c r="J97" s="1"/>
      <c r="K97" s="1"/>
    </row>
    <row r="98" spans="1:11">
      <c r="A98" s="1"/>
      <c r="B98" s="1"/>
      <c r="C98" s="1"/>
      <c r="D98" s="1"/>
      <c r="E98" s="1"/>
      <c r="F98" s="1"/>
      <c r="G98" s="1"/>
      <c r="H98" s="1"/>
      <c r="I98" s="1"/>
      <c r="J98" s="1"/>
      <c r="K98" s="1"/>
    </row>
    <row r="99" spans="1:11">
      <c r="A99" s="1"/>
      <c r="B99" s="1"/>
      <c r="C99" s="1"/>
      <c r="D99" s="1"/>
      <c r="E99" s="1"/>
      <c r="F99" s="1"/>
      <c r="G99" s="1"/>
      <c r="H99" s="1"/>
      <c r="I99" s="1"/>
      <c r="J99" s="1"/>
      <c r="K99" s="1"/>
    </row>
    <row r="100" spans="1:11">
      <c r="A100" s="1"/>
      <c r="B100" s="1"/>
      <c r="C100" s="1"/>
      <c r="D100" s="1"/>
      <c r="E100" s="1"/>
      <c r="F100" s="1"/>
      <c r="G100" s="1"/>
      <c r="H100" s="1"/>
      <c r="I100" s="1"/>
      <c r="J100" s="1"/>
      <c r="K100" s="1"/>
    </row>
    <row r="101" spans="1:11">
      <c r="A101" s="1"/>
      <c r="B101" s="1"/>
      <c r="C101" s="1"/>
      <c r="D101" s="1"/>
      <c r="E101" s="1"/>
      <c r="F101" s="1"/>
      <c r="G101" s="1"/>
      <c r="H101" s="1"/>
      <c r="I101" s="1"/>
      <c r="J101" s="1"/>
      <c r="K101" s="1"/>
    </row>
    <row r="102" spans="1:11">
      <c r="A102" s="1"/>
      <c r="B102" s="1"/>
      <c r="C102" s="1"/>
      <c r="D102" s="1"/>
      <c r="E102" s="1"/>
      <c r="F102" s="1"/>
      <c r="G102" s="1"/>
      <c r="H102" s="1"/>
      <c r="I102" s="1"/>
      <c r="J102" s="1"/>
      <c r="K102" s="1"/>
    </row>
    <row r="103" spans="1:11">
      <c r="A103" s="1"/>
      <c r="B103" s="1"/>
      <c r="C103" s="1"/>
      <c r="D103" s="1"/>
      <c r="E103" s="1"/>
      <c r="F103" s="1"/>
      <c r="G103" s="1"/>
      <c r="H103" s="1"/>
      <c r="I103" s="1"/>
      <c r="J103" s="1"/>
      <c r="K103" s="1"/>
    </row>
    <row r="104" spans="1:11">
      <c r="A104" s="1"/>
      <c r="B104" s="1"/>
      <c r="C104" s="1"/>
      <c r="D104" s="1"/>
      <c r="E104" s="1"/>
      <c r="F104" s="1"/>
      <c r="G104" s="1"/>
      <c r="H104" s="1"/>
      <c r="I104" s="1"/>
      <c r="J104" s="1"/>
      <c r="K104" s="1"/>
    </row>
    <row r="105" spans="1:11">
      <c r="A105" s="1"/>
      <c r="B105" s="1"/>
      <c r="C105" s="1"/>
      <c r="D105" s="1"/>
      <c r="E105" s="1"/>
      <c r="F105" s="1"/>
      <c r="G105" s="1"/>
      <c r="H105" s="1"/>
      <c r="I105" s="1"/>
      <c r="J105" s="1"/>
      <c r="K105" s="1"/>
    </row>
    <row r="106" spans="1:11">
      <c r="A106" s="1"/>
      <c r="B106" s="1"/>
      <c r="C106" s="1"/>
      <c r="D106" s="1"/>
      <c r="E106" s="1"/>
      <c r="F106" s="1"/>
      <c r="G106" s="1"/>
      <c r="H106" s="1"/>
      <c r="I106" s="1"/>
      <c r="J106" s="1"/>
      <c r="K106" s="1"/>
    </row>
    <row r="107" spans="1:11">
      <c r="A107" s="1"/>
      <c r="B107" s="1"/>
      <c r="C107" s="1"/>
      <c r="D107" s="1"/>
      <c r="E107" s="1"/>
      <c r="F107" s="1"/>
      <c r="G107" s="1"/>
      <c r="H107" s="1"/>
      <c r="I107" s="1"/>
      <c r="J107" s="1"/>
      <c r="K107" s="1"/>
    </row>
    <row r="108" spans="1:11">
      <c r="A108" s="1"/>
      <c r="B108" s="1"/>
      <c r="C108" s="1"/>
      <c r="D108" s="1"/>
      <c r="E108" s="1"/>
      <c r="F108" s="1"/>
      <c r="G108" s="1"/>
      <c r="H108" s="1"/>
      <c r="I108" s="1"/>
      <c r="J108" s="1"/>
      <c r="K108" s="1"/>
    </row>
    <row r="109" spans="1:11">
      <c r="A109" s="1"/>
      <c r="B109" s="1"/>
      <c r="C109" s="1"/>
      <c r="D109" s="1"/>
      <c r="E109" s="1"/>
      <c r="F109" s="1"/>
      <c r="G109" s="1"/>
      <c r="H109" s="1"/>
      <c r="I109" s="1"/>
      <c r="J109" s="1"/>
      <c r="K109" s="1"/>
    </row>
    <row r="110" spans="1:11">
      <c r="A110" s="1"/>
      <c r="B110" s="1"/>
      <c r="C110" s="1"/>
      <c r="D110" s="1"/>
      <c r="E110" s="1"/>
      <c r="F110" s="1"/>
      <c r="G110" s="1"/>
      <c r="H110" s="1"/>
      <c r="I110" s="1"/>
      <c r="J110" s="1"/>
      <c r="K110" s="1"/>
    </row>
    <row r="111" spans="1:11">
      <c r="A111" s="1"/>
      <c r="B111" s="1"/>
      <c r="C111" s="1"/>
      <c r="D111" s="1"/>
      <c r="E111" s="1"/>
      <c r="F111" s="1"/>
      <c r="G111" s="1"/>
      <c r="H111" s="1"/>
      <c r="I111" s="1"/>
      <c r="J111" s="1"/>
      <c r="K111" s="1"/>
    </row>
    <row r="112" spans="1:11">
      <c r="A112" s="1"/>
      <c r="B112" s="1"/>
      <c r="C112" s="1"/>
      <c r="D112" s="1"/>
      <c r="E112" s="1"/>
      <c r="F112" s="1"/>
      <c r="G112" s="1"/>
      <c r="H112" s="1"/>
      <c r="I112" s="1"/>
      <c r="J112" s="1"/>
      <c r="K112" s="1"/>
    </row>
    <row r="113" spans="1:11">
      <c r="A113" s="1"/>
      <c r="B113" s="1"/>
      <c r="C113" s="1"/>
      <c r="D113" s="1"/>
      <c r="E113" s="1"/>
      <c r="F113" s="1"/>
      <c r="G113" s="1"/>
      <c r="H113" s="1"/>
      <c r="I113" s="1"/>
      <c r="J113" s="1"/>
      <c r="K113" s="1"/>
    </row>
    <row r="114" spans="1:11">
      <c r="A114" s="1"/>
      <c r="B114" s="1"/>
      <c r="C114" s="1"/>
      <c r="D114" s="1"/>
      <c r="E114" s="1"/>
      <c r="F114" s="1"/>
      <c r="G114" s="1"/>
      <c r="H114" s="1"/>
      <c r="I114" s="1"/>
      <c r="J114" s="1"/>
      <c r="K114" s="1"/>
    </row>
    <row r="115" spans="1:11">
      <c r="A115" s="1"/>
      <c r="B115" s="1"/>
      <c r="C115" s="1"/>
      <c r="D115" s="1"/>
      <c r="E115" s="1"/>
      <c r="F115" s="1"/>
      <c r="G115" s="1"/>
      <c r="H115" s="1"/>
      <c r="I115" s="1"/>
      <c r="J115" s="1"/>
      <c r="K115" s="1"/>
    </row>
    <row r="116" spans="1:11">
      <c r="A116" s="1"/>
      <c r="B116" s="1"/>
      <c r="C116" s="1"/>
      <c r="D116" s="1"/>
      <c r="E116" s="1"/>
      <c r="F116" s="1"/>
      <c r="G116" s="1"/>
      <c r="H116" s="1"/>
      <c r="I116" s="1"/>
      <c r="J116" s="1"/>
      <c r="K116" s="1"/>
    </row>
    <row r="117" spans="1:11">
      <c r="A117" s="1"/>
      <c r="B117" s="1"/>
      <c r="C117" s="1"/>
      <c r="D117" s="1"/>
      <c r="E117" s="1"/>
      <c r="F117" s="1"/>
      <c r="G117" s="1"/>
      <c r="H117" s="1"/>
      <c r="I117" s="1"/>
      <c r="J117" s="1"/>
      <c r="K117" s="1"/>
    </row>
    <row r="118" spans="1:11">
      <c r="A118" s="1"/>
      <c r="B118" s="1"/>
      <c r="C118" s="1"/>
      <c r="D118" s="1"/>
      <c r="E118" s="1"/>
      <c r="F118" s="1"/>
      <c r="G118" s="1"/>
      <c r="H118" s="1"/>
      <c r="I118" s="1"/>
      <c r="J118" s="1"/>
      <c r="K118" s="1"/>
    </row>
    <row r="119" spans="1:11">
      <c r="A119" s="1"/>
      <c r="B119" s="1"/>
      <c r="C119" s="1"/>
      <c r="D119" s="1"/>
      <c r="E119" s="1"/>
      <c r="F119" s="1"/>
      <c r="G119" s="1"/>
      <c r="H119" s="1"/>
      <c r="I119" s="1"/>
      <c r="J119" s="1"/>
      <c r="K119" s="1"/>
    </row>
    <row r="120" spans="1:11">
      <c r="A120" s="1"/>
      <c r="B120" s="1"/>
      <c r="C120" s="1"/>
      <c r="D120" s="1"/>
      <c r="E120" s="1"/>
      <c r="F120" s="1"/>
      <c r="G120" s="1"/>
      <c r="H120" s="1"/>
      <c r="I120" s="1"/>
      <c r="J120" s="1"/>
      <c r="K120" s="1"/>
    </row>
    <row r="121" spans="1:11">
      <c r="A121" s="1"/>
      <c r="B121" s="1"/>
      <c r="C121" s="1"/>
      <c r="D121" s="1"/>
      <c r="E121" s="1"/>
      <c r="F121" s="1"/>
      <c r="G121" s="1"/>
      <c r="H121" s="1"/>
      <c r="I121" s="1"/>
      <c r="J121" s="1"/>
      <c r="K121" s="1"/>
    </row>
    <row r="122" spans="1:11">
      <c r="A122" s="1"/>
      <c r="B122" s="1"/>
      <c r="C122" s="1"/>
      <c r="D122" s="1"/>
      <c r="E122" s="1"/>
      <c r="F122" s="1"/>
      <c r="G122" s="1"/>
      <c r="H122" s="1"/>
      <c r="I122" s="1"/>
      <c r="J122" s="1"/>
      <c r="K122" s="1"/>
    </row>
    <row r="123" spans="1:11">
      <c r="A123" s="1"/>
      <c r="B123" s="1"/>
      <c r="C123" s="1"/>
      <c r="D123" s="1"/>
      <c r="E123" s="1"/>
      <c r="F123" s="1"/>
      <c r="G123" s="1"/>
      <c r="H123" s="1"/>
      <c r="I123" s="1"/>
      <c r="J123" s="1"/>
      <c r="K123" s="1"/>
    </row>
    <row r="124" spans="1:11">
      <c r="A124" s="1"/>
      <c r="B124" s="1"/>
      <c r="C124" s="1"/>
      <c r="D124" s="1"/>
      <c r="E124" s="1"/>
      <c r="F124" s="1"/>
      <c r="G124" s="1"/>
      <c r="H124" s="1"/>
      <c r="I124" s="1"/>
      <c r="J124" s="1"/>
      <c r="K124" s="1"/>
    </row>
    <row r="125" spans="1:11">
      <c r="A125" s="1"/>
      <c r="B125" s="1"/>
      <c r="C125" s="1"/>
      <c r="D125" s="1"/>
      <c r="E125" s="1"/>
      <c r="F125" s="1"/>
      <c r="G125" s="1"/>
      <c r="H125" s="1"/>
      <c r="I125" s="1"/>
      <c r="J125" s="1"/>
      <c r="K125" s="1"/>
    </row>
    <row r="126" spans="1:11">
      <c r="A126" s="1"/>
      <c r="B126" s="1"/>
      <c r="C126" s="1"/>
      <c r="D126" s="1"/>
      <c r="E126" s="1"/>
      <c r="F126" s="1"/>
      <c r="G126" s="1"/>
      <c r="H126" s="1"/>
      <c r="I126" s="1"/>
      <c r="J126" s="1"/>
      <c r="K126" s="1"/>
    </row>
    <row r="127" spans="1:11">
      <c r="A127" s="1"/>
      <c r="B127" s="1"/>
      <c r="C127" s="1"/>
      <c r="D127" s="1"/>
      <c r="E127" s="1"/>
      <c r="F127" s="1"/>
      <c r="G127" s="1"/>
      <c r="H127" s="1"/>
      <c r="I127" s="1"/>
      <c r="J127" s="1"/>
      <c r="K127" s="1"/>
    </row>
    <row r="128" spans="1:11">
      <c r="A128" s="1"/>
      <c r="B128" s="1"/>
      <c r="C128" s="1"/>
      <c r="D128" s="1"/>
      <c r="E128" s="1"/>
      <c r="F128" s="1"/>
      <c r="G128" s="1"/>
      <c r="H128" s="1"/>
      <c r="I128" s="1"/>
      <c r="J128" s="1"/>
      <c r="K128" s="1"/>
    </row>
    <row r="129" spans="1:11">
      <c r="A129" s="1"/>
      <c r="B129" s="1"/>
      <c r="C129" s="1"/>
      <c r="D129" s="1"/>
      <c r="E129" s="1"/>
      <c r="F129" s="1"/>
      <c r="G129" s="1"/>
      <c r="H129" s="1"/>
      <c r="I129" s="1"/>
      <c r="J129" s="1"/>
      <c r="K129" s="1"/>
    </row>
    <row r="130" spans="1:11">
      <c r="A130" s="1"/>
      <c r="B130" s="1"/>
      <c r="C130" s="1"/>
      <c r="D130" s="1"/>
      <c r="E130" s="1"/>
      <c r="F130" s="1"/>
      <c r="G130" s="1"/>
      <c r="H130" s="1"/>
      <c r="I130" s="1"/>
      <c r="J130" s="1"/>
      <c r="K130" s="1"/>
    </row>
    <row r="131" spans="1:11">
      <c r="A131" s="1"/>
      <c r="B131" s="1"/>
      <c r="C131" s="1"/>
      <c r="D131" s="1"/>
      <c r="E131" s="1"/>
      <c r="F131" s="1"/>
      <c r="G131" s="1"/>
      <c r="H131" s="1"/>
      <c r="I131" s="1"/>
      <c r="J131" s="1"/>
      <c r="K131" s="1"/>
    </row>
    <row r="132" spans="1:11">
      <c r="A132" s="1"/>
      <c r="B132" s="1"/>
      <c r="C132" s="1"/>
      <c r="D132" s="1"/>
      <c r="E132" s="1"/>
      <c r="F132" s="1"/>
      <c r="G132" s="1"/>
      <c r="H132" s="1"/>
      <c r="I132" s="1"/>
      <c r="J132" s="1"/>
      <c r="K132" s="1"/>
    </row>
    <row r="133" spans="1:11">
      <c r="A133" s="1"/>
      <c r="B133" s="1"/>
      <c r="C133" s="1"/>
      <c r="D133" s="1"/>
      <c r="E133" s="1"/>
      <c r="F133" s="1"/>
      <c r="G133" s="1"/>
      <c r="H133" s="1"/>
      <c r="I133" s="1"/>
      <c r="J133" s="1"/>
      <c r="K133" s="1"/>
    </row>
    <row r="134" spans="1:11">
      <c r="A134" s="1"/>
      <c r="B134" s="1"/>
      <c r="C134" s="1"/>
      <c r="D134" s="1"/>
      <c r="E134" s="1"/>
      <c r="F134" s="1"/>
      <c r="G134" s="1"/>
      <c r="H134" s="1"/>
      <c r="I134" s="1"/>
      <c r="J134" s="1"/>
      <c r="K134" s="1"/>
    </row>
    <row r="135" spans="1:11">
      <c r="A135" s="1"/>
      <c r="B135" s="1"/>
      <c r="C135" s="1"/>
      <c r="D135" s="1"/>
      <c r="E135" s="1"/>
      <c r="F135" s="1"/>
      <c r="G135" s="1"/>
      <c r="H135" s="1"/>
      <c r="I135" s="1"/>
      <c r="J135" s="1"/>
      <c r="K135" s="1"/>
    </row>
    <row r="136" spans="1:11">
      <c r="A136" s="1"/>
      <c r="B136" s="1"/>
      <c r="C136" s="1"/>
      <c r="D136" s="1"/>
      <c r="E136" s="1"/>
      <c r="F136" s="1"/>
      <c r="G136" s="1"/>
      <c r="H136" s="1"/>
      <c r="I136" s="1"/>
      <c r="J136" s="1"/>
      <c r="K136" s="1"/>
    </row>
    <row r="137" spans="1:11">
      <c r="A137" s="1"/>
      <c r="B137" s="1"/>
      <c r="C137" s="1"/>
      <c r="D137" s="1"/>
      <c r="E137" s="1"/>
      <c r="F137" s="1"/>
      <c r="G137" s="1"/>
      <c r="H137" s="1"/>
      <c r="I137" s="1"/>
      <c r="J137" s="1"/>
      <c r="K137" s="1"/>
    </row>
    <row r="138" spans="1:11">
      <c r="A138" s="1"/>
      <c r="B138" s="1"/>
      <c r="C138" s="1"/>
      <c r="D138" s="1"/>
      <c r="E138" s="1"/>
      <c r="F138" s="1"/>
      <c r="G138" s="1"/>
      <c r="H138" s="1"/>
      <c r="I138" s="1"/>
      <c r="J138" s="1"/>
      <c r="K138" s="1"/>
    </row>
    <row r="139" spans="1:11">
      <c r="A139" s="1"/>
      <c r="B139" s="1"/>
      <c r="C139" s="1"/>
      <c r="D139" s="1"/>
      <c r="E139" s="1"/>
      <c r="F139" s="1"/>
      <c r="G139" s="1"/>
      <c r="H139" s="1"/>
      <c r="I139" s="1"/>
      <c r="J139" s="1"/>
      <c r="K139" s="1"/>
    </row>
    <row r="140" spans="1:11">
      <c r="A140" s="1"/>
      <c r="B140" s="1"/>
      <c r="C140" s="1"/>
      <c r="D140" s="1"/>
      <c r="E140" s="1"/>
      <c r="F140" s="1"/>
      <c r="G140" s="1"/>
      <c r="H140" s="1"/>
      <c r="I140" s="1"/>
      <c r="J140" s="1"/>
      <c r="K140" s="1"/>
    </row>
    <row r="141" spans="1:11">
      <c r="A141" s="1"/>
      <c r="B141" s="1"/>
      <c r="C141" s="1"/>
      <c r="D141" s="1"/>
      <c r="E141" s="1"/>
      <c r="F141" s="1"/>
      <c r="G141" s="1"/>
      <c r="H141" s="1"/>
      <c r="I141" s="1"/>
      <c r="J141" s="1"/>
      <c r="K141" s="1"/>
    </row>
    <row r="142" spans="1:11">
      <c r="A142" s="1"/>
      <c r="B142" s="1"/>
      <c r="C142" s="1"/>
      <c r="D142" s="1"/>
      <c r="E142" s="1"/>
      <c r="F142" s="1"/>
      <c r="G142" s="1"/>
      <c r="H142" s="1"/>
      <c r="I142" s="1"/>
      <c r="J142" s="1"/>
      <c r="K142" s="1"/>
    </row>
    <row r="143" spans="1:11">
      <c r="A143" s="1"/>
      <c r="B143" s="1"/>
      <c r="C143" s="1"/>
      <c r="D143" s="1"/>
      <c r="E143" s="1"/>
      <c r="F143" s="1"/>
      <c r="G143" s="1"/>
      <c r="H143" s="1"/>
      <c r="I143" s="1"/>
      <c r="J143" s="1"/>
      <c r="K143" s="1"/>
    </row>
    <row r="144" spans="1:11">
      <c r="A144" s="1"/>
      <c r="B144" s="1"/>
      <c r="C144" s="1"/>
      <c r="D144" s="1"/>
      <c r="E144" s="1"/>
      <c r="F144" s="1"/>
      <c r="G144" s="1"/>
      <c r="H144" s="1"/>
      <c r="I144" s="1"/>
      <c r="J144" s="1"/>
      <c r="K144" s="1"/>
    </row>
    <row r="145" spans="1:11">
      <c r="A145" s="1"/>
      <c r="B145" s="1"/>
      <c r="C145" s="1"/>
      <c r="D145" s="1"/>
      <c r="E145" s="1"/>
      <c r="F145" s="1"/>
      <c r="G145" s="1"/>
      <c r="H145" s="1"/>
      <c r="I145" s="1"/>
      <c r="J145" s="1"/>
      <c r="K145" s="1"/>
    </row>
    <row r="146" spans="1:11">
      <c r="A146" s="1"/>
      <c r="B146" s="1"/>
      <c r="C146" s="1"/>
      <c r="D146" s="1"/>
      <c r="E146" s="1"/>
      <c r="F146" s="1"/>
      <c r="G146" s="1"/>
      <c r="H146" s="1"/>
      <c r="I146" s="1"/>
      <c r="J146" s="1"/>
      <c r="K146" s="1"/>
    </row>
    <row r="147" spans="1:11">
      <c r="A147" s="1"/>
      <c r="B147" s="1"/>
      <c r="C147" s="1"/>
      <c r="D147" s="1"/>
      <c r="E147" s="1"/>
      <c r="F147" s="1"/>
      <c r="G147" s="1"/>
      <c r="H147" s="1"/>
      <c r="I147" s="1"/>
      <c r="J147" s="1"/>
      <c r="K147" s="1"/>
    </row>
    <row r="148" spans="1:11">
      <c r="A148" s="1"/>
      <c r="B148" s="1"/>
      <c r="C148" s="1"/>
      <c r="D148" s="1"/>
      <c r="E148" s="1"/>
      <c r="F148" s="1"/>
      <c r="G148" s="1"/>
      <c r="H148" s="1"/>
      <c r="I148" s="1"/>
      <c r="J148" s="1"/>
      <c r="K148" s="1"/>
    </row>
    <row r="149" spans="1:11">
      <c r="A149" s="1"/>
      <c r="B149" s="1"/>
      <c r="C149" s="1"/>
      <c r="D149" s="1"/>
      <c r="E149" s="1"/>
      <c r="F149" s="1"/>
      <c r="G149" s="1"/>
      <c r="H149" s="1"/>
      <c r="I149" s="1"/>
      <c r="J149" s="1"/>
      <c r="K149" s="1"/>
    </row>
    <row r="150" spans="1:11">
      <c r="A150" s="1"/>
      <c r="B150" s="1"/>
      <c r="C150" s="1"/>
      <c r="D150" s="1"/>
      <c r="E150" s="1"/>
      <c r="F150" s="1"/>
      <c r="G150" s="1"/>
      <c r="H150" s="1"/>
      <c r="I150" s="1"/>
      <c r="J150" s="1"/>
      <c r="K150" s="1"/>
    </row>
    <row r="151" spans="1:11">
      <c r="A151" s="1"/>
      <c r="B151" s="1"/>
      <c r="C151" s="1"/>
      <c r="D151" s="1"/>
      <c r="E151" s="1"/>
      <c r="F151" s="1"/>
      <c r="G151" s="1"/>
      <c r="H151" s="1"/>
      <c r="I151" s="1"/>
      <c r="J151" s="1"/>
      <c r="K151" s="1"/>
    </row>
    <row r="152" spans="1:11">
      <c r="A152" s="1"/>
      <c r="B152" s="1"/>
      <c r="C152" s="1"/>
      <c r="D152" s="1"/>
      <c r="E152" s="1"/>
      <c r="F152" s="1"/>
      <c r="G152" s="1"/>
      <c r="H152" s="1"/>
      <c r="I152" s="1"/>
      <c r="J152" s="1"/>
      <c r="K152" s="1"/>
    </row>
    <row r="153" spans="1:11">
      <c r="A153" s="1"/>
      <c r="B153" s="1"/>
      <c r="C153" s="1"/>
      <c r="D153" s="1"/>
      <c r="E153" s="1"/>
      <c r="F153" s="1"/>
      <c r="G153" s="1"/>
      <c r="H153" s="1"/>
      <c r="I153" s="1"/>
      <c r="J153" s="1"/>
      <c r="K153" s="1"/>
    </row>
    <row r="154" spans="1:11">
      <c r="A154" s="1"/>
      <c r="B154" s="1"/>
      <c r="C154" s="1"/>
      <c r="D154" s="1"/>
      <c r="E154" s="1"/>
      <c r="F154" s="1"/>
      <c r="G154" s="1"/>
      <c r="H154" s="1"/>
      <c r="I154" s="1"/>
      <c r="J154" s="1"/>
      <c r="K154" s="1"/>
    </row>
    <row r="155" spans="1:11">
      <c r="A155" s="1"/>
      <c r="B155" s="1"/>
      <c r="C155" s="1"/>
      <c r="D155" s="1"/>
      <c r="E155" s="1"/>
      <c r="F155" s="1"/>
      <c r="G155" s="1"/>
      <c r="H155" s="1"/>
      <c r="I155" s="1"/>
      <c r="J155" s="1"/>
      <c r="K155" s="1"/>
    </row>
    <row r="156" spans="1:11">
      <c r="A156" s="1"/>
      <c r="B156" s="1"/>
      <c r="C156" s="1"/>
      <c r="D156" s="1"/>
      <c r="E156" s="1"/>
      <c r="F156" s="1"/>
      <c r="G156" s="1"/>
      <c r="H156" s="1"/>
      <c r="I156" s="1"/>
      <c r="J156" s="1"/>
      <c r="K156" s="1"/>
    </row>
    <row r="157" spans="1:11">
      <c r="A157" s="1"/>
      <c r="B157" s="1"/>
      <c r="C157" s="1"/>
      <c r="D157" s="1"/>
      <c r="E157" s="1"/>
      <c r="F157" s="1"/>
      <c r="G157" s="1"/>
      <c r="H157" s="1"/>
      <c r="I157" s="1"/>
      <c r="J157" s="1"/>
      <c r="K157" s="1"/>
    </row>
    <row r="158" spans="1:11">
      <c r="A158" s="1"/>
      <c r="B158" s="1"/>
      <c r="C158" s="1"/>
      <c r="D158" s="1"/>
      <c r="E158" s="1"/>
      <c r="F158" s="1"/>
      <c r="G158" s="1"/>
      <c r="H158" s="1"/>
      <c r="I158" s="1"/>
      <c r="J158" s="1"/>
      <c r="K158" s="1"/>
    </row>
    <row r="159" spans="1:11">
      <c r="A159" s="1"/>
      <c r="B159" s="1"/>
      <c r="C159" s="1"/>
      <c r="D159" s="1"/>
      <c r="E159" s="1"/>
      <c r="F159" s="1"/>
      <c r="G159" s="1"/>
      <c r="H159" s="1"/>
      <c r="I159" s="1"/>
      <c r="J159" s="1"/>
      <c r="K159" s="1"/>
    </row>
    <row r="160" spans="1:11">
      <c r="A160" s="1"/>
      <c r="B160" s="1"/>
      <c r="C160" s="1"/>
      <c r="D160" s="1"/>
      <c r="E160" s="1"/>
      <c r="F160" s="1"/>
      <c r="G160" s="1"/>
      <c r="H160" s="1"/>
      <c r="I160" s="1"/>
      <c r="J160" s="1"/>
      <c r="K160" s="1"/>
    </row>
    <row r="161" spans="1:11">
      <c r="A161" s="1"/>
      <c r="B161" s="1"/>
      <c r="C161" s="1"/>
      <c r="D161" s="1"/>
      <c r="E161" s="1"/>
      <c r="F161" s="1"/>
      <c r="G161" s="1"/>
      <c r="H161" s="1"/>
      <c r="I161" s="1"/>
      <c r="J161" s="1"/>
      <c r="K161" s="1"/>
    </row>
    <row r="162" spans="1:11">
      <c r="A162" s="1"/>
      <c r="B162" s="1"/>
      <c r="C162" s="1"/>
      <c r="D162" s="1"/>
      <c r="E162" s="1"/>
      <c r="F162" s="1"/>
      <c r="G162" s="1"/>
      <c r="H162" s="1"/>
      <c r="I162" s="1"/>
      <c r="J162" s="1"/>
      <c r="K162" s="1"/>
    </row>
    <row r="163" spans="1:11">
      <c r="A163" s="1"/>
      <c r="B163" s="1"/>
      <c r="C163" s="1"/>
      <c r="D163" s="1"/>
      <c r="E163" s="1"/>
      <c r="F163" s="1"/>
      <c r="G163" s="1"/>
      <c r="H163" s="1"/>
      <c r="I163" s="1"/>
      <c r="J163" s="1"/>
      <c r="K163" s="1"/>
    </row>
    <row r="164" spans="1:11">
      <c r="A164" s="1"/>
      <c r="B164" s="1"/>
      <c r="C164" s="1"/>
      <c r="D164" s="1"/>
      <c r="E164" s="1"/>
      <c r="F164" s="1"/>
      <c r="G164" s="1"/>
      <c r="H164" s="1"/>
      <c r="I164" s="1"/>
      <c r="J164" s="1"/>
      <c r="K164" s="1"/>
    </row>
    <row r="165" spans="1:11">
      <c r="A165" s="1"/>
      <c r="B165" s="1"/>
      <c r="C165" s="1"/>
      <c r="D165" s="1"/>
      <c r="E165" s="1"/>
      <c r="F165" s="1"/>
      <c r="G165" s="1"/>
      <c r="H165" s="1"/>
      <c r="I165" s="1"/>
      <c r="J165" s="1"/>
      <c r="K165" s="1"/>
    </row>
    <row r="166" spans="1:11">
      <c r="A166" s="1"/>
      <c r="B166" s="1"/>
      <c r="C166" s="1"/>
      <c r="D166" s="1"/>
      <c r="E166" s="1"/>
      <c r="F166" s="1"/>
      <c r="G166" s="1"/>
      <c r="H166" s="1"/>
      <c r="I166" s="1"/>
      <c r="J166" s="1"/>
      <c r="K166" s="1"/>
    </row>
    <row r="167" spans="1:11">
      <c r="A167" s="1"/>
      <c r="B167" s="1"/>
      <c r="C167" s="1"/>
      <c r="D167" s="1"/>
      <c r="E167" s="1"/>
      <c r="F167" s="1"/>
      <c r="G167" s="1"/>
      <c r="H167" s="1"/>
      <c r="I167" s="1"/>
      <c r="J167" s="1"/>
      <c r="K167" s="1"/>
    </row>
    <row r="168" spans="1:11">
      <c r="A168" s="1"/>
      <c r="B168" s="1"/>
      <c r="C168" s="1"/>
      <c r="D168" s="1"/>
      <c r="E168" s="1"/>
      <c r="F168" s="1"/>
      <c r="G168" s="1"/>
      <c r="H168" s="1"/>
      <c r="I168" s="1"/>
      <c r="J168" s="1"/>
      <c r="K168" s="1"/>
    </row>
    <row r="169" spans="1:11">
      <c r="A169" s="1"/>
      <c r="B169" s="1"/>
      <c r="C169" s="1"/>
      <c r="D169" s="1"/>
      <c r="E169" s="1"/>
      <c r="F169" s="1"/>
      <c r="G169" s="1"/>
      <c r="H169" s="1"/>
      <c r="I169" s="1"/>
      <c r="J169" s="1"/>
      <c r="K169" s="1"/>
    </row>
    <row r="170" spans="1:11">
      <c r="A170" s="1"/>
      <c r="B170" s="1"/>
      <c r="C170" s="1"/>
      <c r="D170" s="1"/>
      <c r="E170" s="1"/>
      <c r="F170" s="1"/>
      <c r="G170" s="1"/>
      <c r="H170" s="1"/>
      <c r="I170" s="1"/>
      <c r="J170" s="1"/>
      <c r="K170" s="1"/>
    </row>
    <row r="171" spans="1:11">
      <c r="A171" s="1"/>
      <c r="B171" s="1"/>
      <c r="C171" s="1"/>
      <c r="D171" s="1"/>
      <c r="E171" s="1"/>
      <c r="F171" s="1"/>
      <c r="G171" s="1"/>
      <c r="H171" s="1"/>
      <c r="I171" s="1"/>
      <c r="J171" s="1"/>
      <c r="K171" s="1"/>
    </row>
    <row r="172" spans="1:11">
      <c r="A172" s="1"/>
      <c r="B172" s="1"/>
      <c r="C172" s="1"/>
      <c r="D172" s="1"/>
      <c r="E172" s="1"/>
      <c r="F172" s="1"/>
      <c r="G172" s="1"/>
      <c r="H172" s="1"/>
      <c r="I172" s="1"/>
      <c r="J172" s="1"/>
      <c r="K172" s="1"/>
    </row>
    <row r="173" spans="1:11">
      <c r="A173" s="1"/>
      <c r="B173" s="1"/>
      <c r="C173" s="1"/>
      <c r="D173" s="1"/>
      <c r="E173" s="1"/>
      <c r="F173" s="1"/>
      <c r="G173" s="1"/>
      <c r="H173" s="1"/>
      <c r="I173" s="1"/>
      <c r="J173" s="1"/>
      <c r="K173" s="1"/>
    </row>
    <row r="174" spans="1:11">
      <c r="A174" s="1"/>
      <c r="B174" s="1"/>
      <c r="C174" s="1"/>
      <c r="D174" s="1"/>
      <c r="E174" s="1"/>
      <c r="F174" s="1"/>
      <c r="G174" s="1"/>
      <c r="H174" s="1"/>
      <c r="I174" s="1"/>
      <c r="J174" s="1"/>
      <c r="K174" s="1"/>
    </row>
    <row r="175" spans="1:11">
      <c r="A175" s="1"/>
      <c r="B175" s="1"/>
      <c r="C175" s="1"/>
      <c r="D175" s="1"/>
      <c r="E175" s="1"/>
      <c r="F175" s="1"/>
      <c r="G175" s="1"/>
      <c r="H175" s="1"/>
      <c r="I175" s="1"/>
      <c r="J175" s="1"/>
      <c r="K175" s="1"/>
    </row>
    <row r="176" spans="1:11">
      <c r="A176" s="1"/>
      <c r="B176" s="1"/>
      <c r="C176" s="1"/>
      <c r="D176" s="1"/>
      <c r="E176" s="1"/>
      <c r="F176" s="1"/>
      <c r="G176" s="1"/>
      <c r="H176" s="1"/>
      <c r="I176" s="1"/>
      <c r="J176" s="1"/>
      <c r="K176" s="1"/>
    </row>
    <row r="177" spans="1:11">
      <c r="A177" s="1"/>
      <c r="B177" s="1"/>
      <c r="C177" s="1"/>
      <c r="D177" s="1"/>
      <c r="E177" s="1"/>
      <c r="F177" s="1"/>
      <c r="G177" s="1"/>
      <c r="H177" s="1"/>
      <c r="I177" s="1"/>
      <c r="J177" s="1"/>
      <c r="K177" s="1"/>
    </row>
    <row r="178" spans="1:11">
      <c r="A178" s="1"/>
      <c r="B178" s="1"/>
      <c r="C178" s="1"/>
      <c r="D178" s="1"/>
      <c r="E178" s="1"/>
      <c r="F178" s="1"/>
      <c r="G178" s="1"/>
      <c r="H178" s="1"/>
      <c r="I178" s="1"/>
      <c r="J178" s="1"/>
      <c r="K178" s="1"/>
    </row>
    <row r="179" spans="1:11">
      <c r="A179" s="1"/>
      <c r="B179" s="1"/>
      <c r="C179" s="1"/>
      <c r="D179" s="1"/>
      <c r="E179" s="1"/>
      <c r="F179" s="1"/>
      <c r="G179" s="1"/>
      <c r="H179" s="1"/>
      <c r="I179" s="1"/>
      <c r="J179" s="1"/>
      <c r="K179" s="1"/>
    </row>
    <row r="180" spans="1:11">
      <c r="A180" s="1"/>
      <c r="B180" s="1"/>
      <c r="C180" s="1"/>
      <c r="D180" s="1"/>
      <c r="E180" s="1"/>
      <c r="F180" s="1"/>
      <c r="G180" s="1"/>
      <c r="H180" s="1"/>
      <c r="I180" s="1"/>
      <c r="J180" s="1"/>
      <c r="K180" s="1"/>
    </row>
    <row r="181" spans="1:11">
      <c r="A181" s="1"/>
      <c r="B181" s="1"/>
      <c r="C181" s="1"/>
      <c r="D181" s="1"/>
      <c r="E181" s="1"/>
      <c r="F181" s="1"/>
      <c r="G181" s="1"/>
      <c r="H181" s="1"/>
      <c r="I181" s="1"/>
      <c r="J181" s="1"/>
      <c r="K181" s="1"/>
    </row>
    <row r="182" spans="1:11">
      <c r="A182" s="1"/>
      <c r="B182" s="1"/>
      <c r="C182" s="1"/>
      <c r="D182" s="1"/>
      <c r="E182" s="1"/>
      <c r="F182" s="1"/>
      <c r="G182" s="1"/>
      <c r="H182" s="1"/>
      <c r="I182" s="1"/>
      <c r="J182" s="1"/>
      <c r="K182" s="1"/>
    </row>
    <row r="183" spans="1:11">
      <c r="A183" s="1"/>
      <c r="B183" s="1"/>
      <c r="C183" s="1"/>
      <c r="D183" s="1"/>
      <c r="E183" s="1"/>
      <c r="F183" s="1"/>
      <c r="G183" s="1"/>
      <c r="H183" s="1"/>
      <c r="I183" s="1"/>
      <c r="J183" s="1"/>
      <c r="K183" s="1"/>
    </row>
    <row r="184" spans="1:11">
      <c r="A184" s="1"/>
      <c r="B184" s="1"/>
      <c r="C184" s="1"/>
      <c r="D184" s="1"/>
      <c r="E184" s="1"/>
      <c r="F184" s="1"/>
      <c r="G184" s="1"/>
      <c r="H184" s="1"/>
      <c r="I184" s="1"/>
      <c r="J184" s="1"/>
      <c r="K184" s="1"/>
    </row>
    <row r="185" spans="1:11">
      <c r="A185" s="1"/>
      <c r="B185" s="1"/>
      <c r="C185" s="1"/>
      <c r="D185" s="1"/>
      <c r="E185" s="1"/>
      <c r="F185" s="1"/>
      <c r="G185" s="1"/>
      <c r="H185" s="1"/>
      <c r="I185" s="1"/>
      <c r="J185" s="1"/>
      <c r="K185" s="1"/>
    </row>
    <row r="186" spans="1:11">
      <c r="A186" s="1"/>
      <c r="B186" s="1"/>
      <c r="C186" s="1"/>
      <c r="D186" s="1"/>
      <c r="E186" s="1"/>
      <c r="F186" s="1"/>
      <c r="G186" s="1"/>
      <c r="H186" s="1"/>
      <c r="I186" s="1"/>
      <c r="J186" s="1"/>
      <c r="K186" s="1"/>
    </row>
    <row r="187" spans="1:11">
      <c r="A187" s="1"/>
      <c r="B187" s="1"/>
      <c r="C187" s="1"/>
      <c r="D187" s="1"/>
      <c r="E187" s="1"/>
      <c r="F187" s="1"/>
      <c r="G187" s="1"/>
      <c r="H187" s="1"/>
      <c r="I187" s="1"/>
      <c r="J187" s="1"/>
      <c r="K187" s="1"/>
    </row>
    <row r="188" spans="1:11">
      <c r="A188" s="1"/>
      <c r="B188" s="1"/>
      <c r="C188" s="1"/>
      <c r="D188" s="1"/>
      <c r="E188" s="1"/>
      <c r="F188" s="1"/>
      <c r="G188" s="1"/>
      <c r="H188" s="1"/>
      <c r="I188" s="1"/>
      <c r="J188" s="1"/>
      <c r="K188" s="1"/>
    </row>
    <row r="189" spans="1:11">
      <c r="A189" s="1"/>
      <c r="B189" s="1"/>
      <c r="C189" s="1"/>
      <c r="D189" s="1"/>
      <c r="E189" s="1"/>
      <c r="F189" s="1"/>
      <c r="G189" s="1"/>
      <c r="H189" s="1"/>
      <c r="I189" s="1"/>
      <c r="J189" s="1"/>
      <c r="K189" s="1"/>
    </row>
    <row r="190" spans="1:11">
      <c r="A190" s="1"/>
      <c r="B190" s="1"/>
      <c r="C190" s="1"/>
      <c r="D190" s="1"/>
      <c r="E190" s="1"/>
      <c r="F190" s="1"/>
      <c r="G190" s="1"/>
      <c r="H190" s="1"/>
      <c r="I190" s="1"/>
      <c r="J190" s="1"/>
      <c r="K190" s="1"/>
    </row>
    <row r="191" spans="1:11">
      <c r="A191" s="1"/>
      <c r="B191" s="1"/>
      <c r="C191" s="1"/>
      <c r="D191" s="1"/>
      <c r="E191" s="1"/>
      <c r="F191" s="1"/>
      <c r="G191" s="1"/>
      <c r="H191" s="1"/>
      <c r="I191" s="1"/>
      <c r="J191" s="1"/>
      <c r="K191" s="1"/>
    </row>
    <row r="192" spans="1:11">
      <c r="A192" s="1"/>
      <c r="B192" s="1"/>
      <c r="C192" s="1"/>
      <c r="D192" s="1"/>
      <c r="E192" s="1"/>
      <c r="F192" s="1"/>
      <c r="G192" s="1"/>
      <c r="H192" s="1"/>
      <c r="I192" s="1"/>
      <c r="J192" s="1"/>
      <c r="K192" s="1"/>
    </row>
    <row r="193" spans="1:11">
      <c r="A193" s="1"/>
      <c r="B193" s="1"/>
      <c r="C193" s="1"/>
      <c r="D193" s="1"/>
      <c r="E193" s="1"/>
      <c r="F193" s="1"/>
      <c r="G193" s="1"/>
      <c r="H193" s="1"/>
      <c r="I193" s="1"/>
      <c r="J193" s="1"/>
      <c r="K193" s="1"/>
    </row>
    <row r="194" spans="1:11">
      <c r="A194" s="1"/>
      <c r="B194" s="1"/>
      <c r="C194" s="1"/>
      <c r="D194" s="1"/>
      <c r="E194" s="1"/>
      <c r="F194" s="1"/>
      <c r="G194" s="1"/>
      <c r="H194" s="1"/>
      <c r="I194" s="1"/>
      <c r="J194" s="1"/>
      <c r="K194" s="1"/>
    </row>
    <row r="195" spans="1:11">
      <c r="A195" s="1"/>
      <c r="B195" s="1"/>
      <c r="C195" s="1"/>
      <c r="D195" s="1"/>
      <c r="E195" s="1"/>
      <c r="F195" s="1"/>
      <c r="G195" s="1"/>
      <c r="H195" s="1"/>
      <c r="I195" s="1"/>
      <c r="J195" s="1"/>
      <c r="K195" s="1"/>
    </row>
    <row r="196" spans="1:11">
      <c r="A196" s="1"/>
      <c r="B196" s="1"/>
      <c r="C196" s="1"/>
      <c r="D196" s="1"/>
      <c r="E196" s="1"/>
      <c r="F196" s="1"/>
      <c r="G196" s="1"/>
      <c r="H196" s="1"/>
      <c r="I196" s="1"/>
      <c r="J196" s="1"/>
      <c r="K196" s="1"/>
    </row>
    <row r="197" spans="1:11">
      <c r="A197" s="1"/>
      <c r="B197" s="1"/>
      <c r="C197" s="1"/>
      <c r="D197" s="1"/>
      <c r="E197" s="1"/>
      <c r="F197" s="1"/>
      <c r="G197" s="1"/>
      <c r="H197" s="1"/>
      <c r="I197" s="1"/>
      <c r="J197" s="1"/>
      <c r="K197" s="1"/>
    </row>
    <row r="198" spans="1:11">
      <c r="A198" s="1"/>
      <c r="B198" s="1"/>
      <c r="C198" s="1"/>
      <c r="D198" s="1"/>
      <c r="E198" s="1"/>
      <c r="F198" s="1"/>
      <c r="G198" s="1"/>
      <c r="H198" s="1"/>
      <c r="I198" s="1"/>
      <c r="J198" s="1"/>
      <c r="K198" s="1"/>
    </row>
    <row r="199" spans="1:11">
      <c r="A199" s="1"/>
      <c r="B199" s="1"/>
      <c r="C199" s="1"/>
      <c r="D199" s="1"/>
      <c r="E199" s="1"/>
      <c r="F199" s="1"/>
      <c r="G199" s="1"/>
      <c r="H199" s="1"/>
      <c r="I199" s="1"/>
      <c r="J199" s="1"/>
      <c r="K199" s="1"/>
    </row>
    <row r="200" spans="1:11">
      <c r="A200" s="1"/>
      <c r="B200" s="1"/>
      <c r="C200" s="1"/>
      <c r="D200" s="1"/>
      <c r="E200" s="1"/>
      <c r="F200" s="1"/>
      <c r="G200" s="1"/>
      <c r="H200" s="1"/>
      <c r="I200" s="1"/>
      <c r="J200" s="1"/>
      <c r="K200" s="1"/>
    </row>
    <row r="201" spans="1:11">
      <c r="A201" s="1"/>
      <c r="B201" s="1"/>
      <c r="C201" s="1"/>
      <c r="D201" s="1"/>
      <c r="E201" s="1"/>
      <c r="F201" s="1"/>
      <c r="G201" s="1"/>
      <c r="H201" s="1"/>
      <c r="I201" s="1"/>
      <c r="J201" s="1"/>
      <c r="K201" s="1"/>
    </row>
    <row r="202" spans="1:11">
      <c r="A202" s="1"/>
      <c r="B202" s="1"/>
      <c r="C202" s="1"/>
      <c r="D202" s="1"/>
      <c r="E202" s="1"/>
      <c r="F202" s="1"/>
      <c r="G202" s="1"/>
      <c r="H202" s="1"/>
      <c r="I202" s="1"/>
      <c r="J202" s="1"/>
      <c r="K202" s="1"/>
    </row>
    <row r="203" spans="1:11">
      <c r="A203" s="1"/>
      <c r="B203" s="1"/>
      <c r="C203" s="1"/>
      <c r="D203" s="1"/>
      <c r="E203" s="1"/>
      <c r="F203" s="1"/>
      <c r="G203" s="1"/>
      <c r="H203" s="1"/>
      <c r="I203" s="1"/>
      <c r="J203" s="1"/>
      <c r="K203" s="1"/>
    </row>
    <row r="204" spans="1:11">
      <c r="A204" s="1"/>
      <c r="B204" s="1"/>
      <c r="C204" s="1"/>
      <c r="D204" s="1"/>
      <c r="E204" s="1"/>
      <c r="F204" s="1"/>
      <c r="G204" s="1"/>
      <c r="H204" s="1"/>
      <c r="I204" s="1"/>
      <c r="J204" s="1"/>
      <c r="K204" s="1"/>
    </row>
    <row r="205" spans="1:11">
      <c r="A205" s="1"/>
      <c r="B205" s="1"/>
      <c r="C205" s="1"/>
      <c r="D205" s="1"/>
      <c r="E205" s="1"/>
      <c r="F205" s="1"/>
      <c r="G205" s="1"/>
      <c r="H205" s="1"/>
      <c r="I205" s="1"/>
      <c r="J205" s="1"/>
      <c r="K205" s="1"/>
    </row>
    <row r="206" spans="1:11">
      <c r="A206" s="1"/>
      <c r="B206" s="1"/>
      <c r="C206" s="1"/>
      <c r="D206" s="1"/>
      <c r="E206" s="1"/>
      <c r="F206" s="1"/>
      <c r="G206" s="1"/>
      <c r="H206" s="1"/>
      <c r="I206" s="1"/>
      <c r="J206" s="1"/>
      <c r="K206" s="1"/>
    </row>
    <row r="207" spans="1:11">
      <c r="A207" s="1"/>
      <c r="B207" s="1"/>
      <c r="C207" s="1"/>
      <c r="D207" s="1"/>
      <c r="E207" s="1"/>
      <c r="F207" s="1"/>
      <c r="G207" s="1"/>
      <c r="H207" s="1"/>
      <c r="I207" s="1"/>
      <c r="J207" s="1"/>
      <c r="K207" s="1"/>
    </row>
    <row r="208" spans="1:11">
      <c r="A208" s="1"/>
      <c r="B208" s="1"/>
      <c r="C208" s="1"/>
      <c r="D208" s="1"/>
      <c r="E208" s="1"/>
      <c r="F208" s="1"/>
      <c r="G208" s="1"/>
      <c r="H208" s="1"/>
      <c r="I208" s="1"/>
      <c r="J208" s="1"/>
      <c r="K208" s="1"/>
    </row>
    <row r="209" spans="1:11">
      <c r="A209" s="1"/>
      <c r="B209" s="1"/>
      <c r="C209" s="1"/>
      <c r="D209" s="1"/>
      <c r="E209" s="1"/>
      <c r="F209" s="1"/>
      <c r="G209" s="1"/>
      <c r="H209" s="1"/>
      <c r="I209" s="1"/>
      <c r="J209" s="1"/>
      <c r="K209" s="1"/>
    </row>
    <row r="210" spans="1:11">
      <c r="A210" s="1"/>
      <c r="B210" s="1"/>
      <c r="C210" s="1"/>
      <c r="D210" s="1"/>
      <c r="E210" s="1"/>
      <c r="F210" s="1"/>
      <c r="G210" s="1"/>
      <c r="H210" s="1"/>
      <c r="I210" s="1"/>
      <c r="J210" s="1"/>
      <c r="K210" s="1"/>
    </row>
    <row r="211" spans="1:11">
      <c r="A211" s="1"/>
      <c r="B211" s="1"/>
      <c r="C211" s="1"/>
      <c r="D211" s="1"/>
      <c r="E211" s="1"/>
      <c r="F211" s="1"/>
      <c r="G211" s="1"/>
      <c r="H211" s="1"/>
      <c r="I211" s="1"/>
      <c r="J211" s="1"/>
      <c r="K211" s="1"/>
    </row>
    <row r="212" spans="1:11">
      <c r="A212" s="1"/>
      <c r="B212" s="1"/>
      <c r="C212" s="1"/>
      <c r="D212" s="1"/>
      <c r="E212" s="1"/>
      <c r="F212" s="1"/>
      <c r="G212" s="1"/>
      <c r="H212" s="1"/>
      <c r="I212" s="1"/>
      <c r="J212" s="1"/>
      <c r="K212" s="1"/>
    </row>
    <row r="213" spans="1:11">
      <c r="A213" s="1"/>
      <c r="B213" s="1"/>
      <c r="C213" s="1"/>
      <c r="D213" s="1"/>
      <c r="E213" s="1"/>
      <c r="F213" s="1"/>
      <c r="G213" s="1"/>
      <c r="H213" s="1"/>
      <c r="I213" s="1"/>
      <c r="J213" s="1"/>
      <c r="K213" s="1"/>
    </row>
    <row r="214" spans="1:11">
      <c r="A214" s="1"/>
      <c r="B214" s="1"/>
      <c r="C214" s="1"/>
      <c r="D214" s="1"/>
      <c r="E214" s="1"/>
      <c r="F214" s="1"/>
      <c r="G214" s="1"/>
      <c r="H214" s="1"/>
      <c r="I214" s="1"/>
      <c r="J214" s="1"/>
      <c r="K214" s="1"/>
    </row>
    <row r="215" spans="1:11">
      <c r="A215" s="1"/>
      <c r="B215" s="1"/>
      <c r="C215" s="1"/>
      <c r="D215" s="1"/>
      <c r="E215" s="1"/>
      <c r="F215" s="1"/>
      <c r="G215" s="1"/>
      <c r="H215" s="1"/>
      <c r="I215" s="1"/>
      <c r="J215" s="1"/>
      <c r="K215" s="1"/>
    </row>
    <row r="216" spans="1:11">
      <c r="A216" s="1"/>
      <c r="B216" s="1"/>
      <c r="C216" s="1"/>
      <c r="D216" s="1"/>
      <c r="E216" s="1"/>
      <c r="F216" s="1"/>
      <c r="G216" s="1"/>
      <c r="H216" s="1"/>
      <c r="I216" s="1"/>
      <c r="J216" s="1"/>
      <c r="K216" s="1"/>
    </row>
    <row r="217" spans="1:11">
      <c r="A217" s="1"/>
      <c r="B217" s="1"/>
      <c r="C217" s="1"/>
      <c r="D217" s="1"/>
      <c r="E217" s="1"/>
      <c r="F217" s="1"/>
      <c r="G217" s="1"/>
      <c r="H217" s="1"/>
      <c r="I217" s="1"/>
      <c r="J217" s="1"/>
      <c r="K217" s="1"/>
    </row>
    <row r="218" spans="1:11">
      <c r="A218" s="1"/>
      <c r="B218" s="1"/>
      <c r="C218" s="1"/>
      <c r="D218" s="1"/>
      <c r="E218" s="1"/>
      <c r="F218" s="1"/>
      <c r="G218" s="1"/>
      <c r="H218" s="1"/>
      <c r="I218" s="1"/>
      <c r="J218" s="1"/>
      <c r="K218" s="1"/>
    </row>
    <row r="219" spans="1:11">
      <c r="A219" s="1"/>
      <c r="B219" s="1"/>
      <c r="C219" s="1"/>
      <c r="D219" s="1"/>
      <c r="E219" s="1"/>
      <c r="F219" s="1"/>
      <c r="G219" s="1"/>
      <c r="H219" s="1"/>
      <c r="I219" s="1"/>
      <c r="J219" s="1"/>
      <c r="K219" s="1"/>
    </row>
    <row r="220" spans="1:11">
      <c r="A220" s="1"/>
      <c r="B220" s="1"/>
      <c r="C220" s="1"/>
      <c r="D220" s="1"/>
      <c r="E220" s="1"/>
      <c r="F220" s="1"/>
      <c r="G220" s="1"/>
      <c r="H220" s="1"/>
      <c r="I220" s="1"/>
      <c r="J220" s="1"/>
      <c r="K220" s="1"/>
    </row>
    <row r="221" spans="1:11">
      <c r="A221" s="1"/>
      <c r="B221" s="1"/>
      <c r="C221" s="1"/>
      <c r="D221" s="1"/>
      <c r="E221" s="1"/>
      <c r="F221" s="1"/>
      <c r="G221" s="1"/>
      <c r="H221" s="1"/>
      <c r="I221" s="1"/>
      <c r="J221" s="1"/>
      <c r="K221" s="1"/>
    </row>
    <row r="222" spans="1:11">
      <c r="A222" s="1"/>
      <c r="B222" s="1"/>
      <c r="C222" s="1"/>
      <c r="D222" s="1"/>
      <c r="E222" s="1"/>
      <c r="F222" s="1"/>
      <c r="G222" s="1"/>
      <c r="H222" s="1"/>
      <c r="I222" s="1"/>
      <c r="J222" s="1"/>
      <c r="K222" s="1"/>
    </row>
    <row r="223" spans="1:11">
      <c r="A223" s="1"/>
      <c r="B223" s="1"/>
      <c r="C223" s="1"/>
      <c r="D223" s="1"/>
      <c r="E223" s="1"/>
      <c r="F223" s="1"/>
      <c r="G223" s="1"/>
      <c r="H223" s="1"/>
      <c r="I223" s="1"/>
      <c r="J223" s="1"/>
      <c r="K223" s="1"/>
    </row>
    <row r="224" spans="1:11">
      <c r="A224" s="1"/>
      <c r="B224" s="1"/>
      <c r="C224" s="1"/>
      <c r="D224" s="1"/>
      <c r="E224" s="1"/>
      <c r="F224" s="1"/>
      <c r="G224" s="1"/>
      <c r="H224" s="1"/>
      <c r="I224" s="1"/>
      <c r="J224" s="1"/>
      <c r="K224" s="1"/>
    </row>
    <row r="225" spans="1:11">
      <c r="A225" s="1"/>
      <c r="B225" s="1"/>
      <c r="C225" s="1"/>
      <c r="D225" s="1"/>
      <c r="E225" s="1"/>
      <c r="F225" s="1"/>
      <c r="G225" s="1"/>
      <c r="H225" s="1"/>
      <c r="I225" s="1"/>
      <c r="J225" s="1"/>
      <c r="K225" s="1"/>
    </row>
    <row r="226" spans="1:11">
      <c r="A226" s="1"/>
      <c r="B226" s="1"/>
      <c r="C226" s="1"/>
      <c r="D226" s="1"/>
      <c r="E226" s="1"/>
      <c r="F226" s="1"/>
      <c r="G226" s="1"/>
      <c r="H226" s="1"/>
      <c r="I226" s="1"/>
      <c r="J226" s="1"/>
      <c r="K226" s="1"/>
    </row>
    <row r="227" spans="1:11">
      <c r="A227" s="1"/>
      <c r="B227" s="1"/>
      <c r="C227" s="1"/>
      <c r="D227" s="1"/>
      <c r="E227" s="1"/>
      <c r="F227" s="1"/>
      <c r="G227" s="1"/>
      <c r="H227" s="1"/>
      <c r="I227" s="1"/>
      <c r="J227" s="1"/>
      <c r="K227" s="1"/>
    </row>
    <row r="228" spans="1:11">
      <c r="A228" s="1"/>
      <c r="B228" s="1"/>
      <c r="C228" s="1"/>
      <c r="D228" s="1"/>
      <c r="E228" s="1"/>
      <c r="F228" s="1"/>
      <c r="G228" s="1"/>
      <c r="H228" s="1"/>
      <c r="I228" s="1"/>
      <c r="J228" s="1"/>
      <c r="K228" s="1"/>
    </row>
    <row r="229" spans="1:11">
      <c r="A229" s="1"/>
      <c r="B229" s="1"/>
      <c r="C229" s="1"/>
      <c r="D229" s="1"/>
      <c r="E229" s="1"/>
      <c r="F229" s="1"/>
      <c r="G229" s="1"/>
      <c r="H229" s="1"/>
      <c r="I229" s="1"/>
      <c r="J229" s="1"/>
      <c r="K229" s="1"/>
    </row>
    <row r="230" spans="1:11">
      <c r="A230" s="1"/>
      <c r="B230" s="1"/>
      <c r="C230" s="1"/>
      <c r="D230" s="1"/>
      <c r="E230" s="1"/>
      <c r="F230" s="1"/>
      <c r="G230" s="1"/>
      <c r="H230" s="1"/>
      <c r="I230" s="1"/>
      <c r="J230" s="1"/>
      <c r="K230" s="1"/>
    </row>
    <row r="231" spans="1:11">
      <c r="A231" s="1"/>
      <c r="B231" s="1"/>
      <c r="C231" s="1"/>
      <c r="D231" s="1"/>
      <c r="E231" s="1"/>
      <c r="F231" s="1"/>
      <c r="G231" s="1"/>
      <c r="H231" s="1"/>
      <c r="I231" s="1"/>
      <c r="J231" s="1"/>
      <c r="K231" s="1"/>
    </row>
    <row r="232" spans="1:11">
      <c r="A232" s="1"/>
      <c r="B232" s="1"/>
      <c r="C232" s="1"/>
      <c r="D232" s="1"/>
      <c r="E232" s="1"/>
      <c r="F232" s="1"/>
      <c r="G232" s="1"/>
      <c r="H232" s="1"/>
      <c r="I232" s="1"/>
      <c r="J232" s="1"/>
      <c r="K232" s="1"/>
    </row>
    <row r="233" spans="1:11">
      <c r="A233" s="1"/>
      <c r="B233" s="1"/>
      <c r="C233" s="1"/>
      <c r="D233" s="1"/>
      <c r="E233" s="1"/>
      <c r="F233" s="1"/>
      <c r="G233" s="1"/>
      <c r="H233" s="1"/>
      <c r="I233" s="1"/>
      <c r="J233" s="1"/>
      <c r="K233" s="1"/>
    </row>
    <row r="234" spans="1:11">
      <c r="A234" s="1"/>
      <c r="B234" s="1"/>
      <c r="C234" s="1"/>
      <c r="D234" s="1"/>
      <c r="E234" s="1"/>
      <c r="F234" s="1"/>
      <c r="G234" s="1"/>
      <c r="H234" s="1"/>
      <c r="I234" s="1"/>
      <c r="J234" s="1"/>
      <c r="K234" s="1"/>
    </row>
    <row r="235" spans="1:11">
      <c r="A235" s="1"/>
      <c r="B235" s="1"/>
      <c r="C235" s="1"/>
      <c r="D235" s="1"/>
      <c r="E235" s="1"/>
      <c r="F235" s="1"/>
      <c r="G235" s="1"/>
      <c r="H235" s="1"/>
      <c r="I235" s="1"/>
      <c r="J235" s="1"/>
      <c r="K235" s="1"/>
    </row>
    <row r="236" spans="1:11">
      <c r="A236" s="1"/>
      <c r="B236" s="1"/>
      <c r="C236" s="1"/>
      <c r="D236" s="1"/>
      <c r="E236" s="1"/>
      <c r="F236" s="1"/>
      <c r="G236" s="1"/>
      <c r="H236" s="1"/>
      <c r="I236" s="1"/>
      <c r="J236" s="1"/>
      <c r="K236" s="1"/>
    </row>
    <row r="237" spans="1:11">
      <c r="A237" s="1"/>
      <c r="B237" s="1"/>
      <c r="C237" s="1"/>
      <c r="D237" s="1"/>
      <c r="E237" s="1"/>
      <c r="F237" s="1"/>
      <c r="G237" s="1"/>
      <c r="H237" s="1"/>
      <c r="I237" s="1"/>
      <c r="J237" s="1"/>
      <c r="K237" s="1"/>
    </row>
    <row r="238" spans="1:11">
      <c r="A238" s="1"/>
      <c r="B238" s="1"/>
      <c r="C238" s="1"/>
      <c r="D238" s="1"/>
      <c r="E238" s="1"/>
      <c r="F238" s="1"/>
      <c r="G238" s="1"/>
      <c r="H238" s="1"/>
      <c r="I238" s="1"/>
      <c r="J238" s="1"/>
      <c r="K238" s="1"/>
    </row>
    <row r="239" spans="1:11">
      <c r="A239" s="1"/>
      <c r="B239" s="1"/>
      <c r="C239" s="1"/>
      <c r="D239" s="1"/>
      <c r="E239" s="1"/>
      <c r="F239" s="1"/>
      <c r="G239" s="1"/>
      <c r="H239" s="1"/>
      <c r="I239" s="1"/>
      <c r="J239" s="1"/>
      <c r="K239" s="1"/>
    </row>
    <row r="240" spans="1:11">
      <c r="A240" s="1"/>
      <c r="B240" s="1"/>
      <c r="C240" s="1"/>
      <c r="D240" s="1"/>
      <c r="E240" s="1"/>
      <c r="F240" s="1"/>
      <c r="G240" s="1"/>
      <c r="H240" s="1"/>
      <c r="I240" s="1"/>
      <c r="J240" s="1"/>
      <c r="K240" s="1"/>
    </row>
    <row r="241" spans="1:11">
      <c r="A241" s="1"/>
      <c r="B241" s="1"/>
      <c r="C241" s="1"/>
      <c r="D241" s="1"/>
      <c r="E241" s="1"/>
      <c r="F241" s="1"/>
      <c r="G241" s="1"/>
      <c r="H241" s="1"/>
      <c r="I241" s="1"/>
      <c r="J241" s="1"/>
      <c r="K241" s="1"/>
    </row>
    <row r="242" spans="1:11">
      <c r="A242" s="1"/>
      <c r="B242" s="1"/>
      <c r="C242" s="1"/>
      <c r="D242" s="1"/>
      <c r="E242" s="1"/>
      <c r="F242" s="1"/>
      <c r="G242" s="1"/>
      <c r="H242" s="1"/>
      <c r="I242" s="1"/>
      <c r="J242" s="1"/>
      <c r="K242" s="1"/>
    </row>
    <row r="243" spans="1:11">
      <c r="A243" s="1"/>
      <c r="B243" s="1"/>
      <c r="C243" s="1"/>
      <c r="D243" s="1"/>
      <c r="E243" s="1"/>
      <c r="F243" s="1"/>
      <c r="G243" s="1"/>
      <c r="H243" s="1"/>
      <c r="I243" s="1"/>
      <c r="J243" s="1"/>
      <c r="K243" s="1"/>
    </row>
    <row r="244" spans="1:11">
      <c r="A244" s="1"/>
      <c r="B244" s="1"/>
      <c r="C244" s="1"/>
      <c r="D244" s="1"/>
      <c r="E244" s="1"/>
      <c r="F244" s="1"/>
      <c r="G244" s="1"/>
      <c r="H244" s="1"/>
      <c r="I244" s="1"/>
      <c r="J244" s="1"/>
      <c r="K244" s="1"/>
    </row>
    <row r="245" spans="1:11">
      <c r="A245" s="1"/>
      <c r="B245" s="1"/>
      <c r="C245" s="1"/>
      <c r="D245" s="1"/>
      <c r="E245" s="1"/>
      <c r="F245" s="1"/>
      <c r="G245" s="1"/>
      <c r="H245" s="1"/>
      <c r="I245" s="1"/>
      <c r="J245" s="1"/>
      <c r="K245" s="1"/>
    </row>
    <row r="246" spans="1:11">
      <c r="A246" s="1"/>
      <c r="B246" s="1"/>
      <c r="C246" s="1"/>
      <c r="D246" s="1"/>
      <c r="E246" s="1"/>
      <c r="F246" s="1"/>
      <c r="G246" s="1"/>
      <c r="H246" s="1"/>
      <c r="I246" s="1"/>
      <c r="J246" s="1"/>
      <c r="K246" s="1"/>
    </row>
    <row r="247" spans="1:11">
      <c r="A247" s="1"/>
      <c r="B247" s="1"/>
      <c r="C247" s="1"/>
      <c r="D247" s="1"/>
      <c r="E247" s="1"/>
      <c r="F247" s="1"/>
      <c r="G247" s="1"/>
      <c r="H247" s="1"/>
      <c r="I247" s="1"/>
      <c r="J247" s="1"/>
      <c r="K247" s="1"/>
    </row>
    <row r="248" spans="1:11">
      <c r="A248" s="1"/>
      <c r="B248" s="1"/>
      <c r="C248" s="1"/>
      <c r="D248" s="1"/>
      <c r="E248" s="1"/>
      <c r="F248" s="1"/>
      <c r="G248" s="1"/>
      <c r="H248" s="1"/>
      <c r="I248" s="1"/>
      <c r="J248" s="1"/>
      <c r="K248" s="1"/>
    </row>
    <row r="249" spans="1:11">
      <c r="A249" s="1"/>
      <c r="B249" s="1"/>
      <c r="C249" s="1"/>
      <c r="D249" s="1"/>
      <c r="E249" s="1"/>
      <c r="F249" s="1"/>
      <c r="G249" s="1"/>
      <c r="H249" s="1"/>
      <c r="I249" s="1"/>
      <c r="J249" s="1"/>
      <c r="K249" s="1"/>
    </row>
    <row r="250" spans="1:11">
      <c r="A250" s="1"/>
      <c r="B250" s="1"/>
      <c r="C250" s="1"/>
      <c r="D250" s="1"/>
      <c r="E250" s="1"/>
      <c r="F250" s="1"/>
      <c r="G250" s="1"/>
      <c r="H250" s="1"/>
      <c r="I250" s="1"/>
      <c r="J250" s="1"/>
      <c r="K250" s="1"/>
    </row>
    <row r="251" spans="1:11">
      <c r="A251" s="1"/>
      <c r="B251" s="1"/>
      <c r="C251" s="1"/>
      <c r="D251" s="1"/>
      <c r="E251" s="1"/>
      <c r="F251" s="1"/>
      <c r="G251" s="1"/>
      <c r="H251" s="1"/>
      <c r="I251" s="1"/>
      <c r="J251" s="1"/>
      <c r="K251" s="1"/>
    </row>
    <row r="252" spans="1:11">
      <c r="A252" s="1"/>
      <c r="B252" s="1"/>
      <c r="C252" s="1"/>
      <c r="D252" s="1"/>
      <c r="E252" s="1"/>
      <c r="F252" s="1"/>
      <c r="G252" s="1"/>
      <c r="H252" s="1"/>
      <c r="I252" s="1"/>
      <c r="J252" s="1"/>
      <c r="K252" s="1"/>
    </row>
    <row r="253" spans="1:11">
      <c r="A253" s="1"/>
      <c r="B253" s="1"/>
      <c r="C253" s="1"/>
      <c r="D253" s="1"/>
      <c r="E253" s="1"/>
      <c r="F253" s="1"/>
      <c r="G253" s="1"/>
      <c r="H253" s="1"/>
      <c r="I253" s="1"/>
      <c r="J253" s="1"/>
      <c r="K253" s="1"/>
    </row>
    <row r="254" spans="1:11">
      <c r="A254" s="1"/>
      <c r="B254" s="1"/>
      <c r="C254" s="1"/>
      <c r="D254" s="1"/>
      <c r="E254" s="1"/>
      <c r="F254" s="1"/>
      <c r="G254" s="1"/>
      <c r="H254" s="1"/>
      <c r="I254" s="1"/>
      <c r="J254" s="1"/>
      <c r="K254" s="1"/>
    </row>
    <row r="255" spans="1:11">
      <c r="A255" s="1"/>
      <c r="B255" s="1"/>
      <c r="C255" s="1"/>
      <c r="D255" s="1"/>
      <c r="E255" s="1"/>
      <c r="F255" s="1"/>
      <c r="G255" s="1"/>
      <c r="H255" s="1"/>
      <c r="I255" s="1"/>
      <c r="J255" s="1"/>
      <c r="K255" s="1"/>
    </row>
    <row r="256" spans="1:11">
      <c r="A256" s="1"/>
      <c r="B256" s="1"/>
      <c r="C256" s="1"/>
      <c r="D256" s="1"/>
      <c r="E256" s="1"/>
      <c r="F256" s="1"/>
      <c r="G256" s="1"/>
      <c r="H256" s="1"/>
      <c r="I256" s="1"/>
      <c r="J256" s="1"/>
      <c r="K256" s="1"/>
    </row>
    <row r="257" spans="1:11">
      <c r="A257" s="1"/>
      <c r="B257" s="1"/>
      <c r="C257" s="1"/>
      <c r="D257" s="1"/>
      <c r="E257" s="1"/>
      <c r="F257" s="1"/>
      <c r="G257" s="1"/>
      <c r="H257" s="1"/>
      <c r="I257" s="1"/>
      <c r="J257" s="1"/>
      <c r="K257" s="1"/>
    </row>
    <row r="258" spans="1:11">
      <c r="A258" s="1"/>
      <c r="B258" s="1"/>
      <c r="C258" s="1"/>
      <c r="D258" s="1"/>
      <c r="E258" s="1"/>
      <c r="F258" s="1"/>
      <c r="G258" s="1"/>
      <c r="H258" s="1"/>
      <c r="I258" s="1"/>
      <c r="J258" s="1"/>
      <c r="K258" s="1"/>
    </row>
    <row r="259" spans="1:11">
      <c r="A259" s="1"/>
      <c r="B259" s="1"/>
      <c r="C259" s="1"/>
      <c r="D259" s="1"/>
      <c r="E259" s="1"/>
      <c r="F259" s="1"/>
      <c r="G259" s="1"/>
      <c r="H259" s="1"/>
      <c r="I259" s="1"/>
      <c r="J259" s="1"/>
      <c r="K259" s="1"/>
    </row>
    <row r="260" spans="1:11">
      <c r="A260" s="1"/>
      <c r="B260" s="1"/>
      <c r="C260" s="1"/>
      <c r="D260" s="1"/>
      <c r="E260" s="1"/>
      <c r="F260" s="1"/>
      <c r="G260" s="1"/>
      <c r="H260" s="1"/>
      <c r="I260" s="1"/>
      <c r="J260" s="1"/>
      <c r="K260" s="1"/>
    </row>
    <row r="261" spans="1:11">
      <c r="A261" s="1"/>
      <c r="B261" s="1"/>
      <c r="C261" s="1"/>
      <c r="D261" s="1"/>
      <c r="E261" s="1"/>
      <c r="F261" s="1"/>
      <c r="G261" s="1"/>
      <c r="H261" s="1"/>
      <c r="I261" s="1"/>
      <c r="J261" s="1"/>
      <c r="K261" s="1"/>
    </row>
    <row r="262" spans="1:11">
      <c r="A262" s="1"/>
      <c r="B262" s="1"/>
      <c r="C262" s="1"/>
      <c r="D262" s="1"/>
      <c r="E262" s="1"/>
      <c r="F262" s="1"/>
      <c r="G262" s="1"/>
      <c r="H262" s="1"/>
      <c r="I262" s="1"/>
      <c r="J262" s="1"/>
      <c r="K262" s="1"/>
    </row>
    <row r="263" spans="1:11">
      <c r="A263" s="1"/>
      <c r="B263" s="1"/>
      <c r="C263" s="1"/>
      <c r="D263" s="1"/>
      <c r="E263" s="1"/>
      <c r="F263" s="1"/>
      <c r="G263" s="1"/>
      <c r="H263" s="1"/>
      <c r="I263" s="1"/>
      <c r="J263" s="1"/>
      <c r="K263" s="1"/>
    </row>
    <row r="264" spans="1:11">
      <c r="A264" s="1"/>
      <c r="B264" s="1"/>
      <c r="C264" s="1"/>
      <c r="D264" s="1"/>
      <c r="E264" s="1"/>
      <c r="F264" s="1"/>
      <c r="G264" s="1"/>
      <c r="H264" s="1"/>
      <c r="I264" s="1"/>
      <c r="J264" s="1"/>
      <c r="K264" s="1"/>
    </row>
    <row r="265" spans="1:11">
      <c r="A265" s="1"/>
      <c r="B265" s="1"/>
      <c r="C265" s="1"/>
      <c r="D265" s="1"/>
      <c r="E265" s="1"/>
      <c r="F265" s="1"/>
      <c r="G265" s="1"/>
      <c r="H265" s="1"/>
      <c r="I265" s="1"/>
      <c r="J265" s="1"/>
      <c r="K265" s="1"/>
    </row>
    <row r="266" spans="1:11">
      <c r="A266" s="1"/>
      <c r="B266" s="1"/>
      <c r="C266" s="1"/>
      <c r="D266" s="1"/>
      <c r="E266" s="1"/>
      <c r="F266" s="1"/>
      <c r="G266" s="1"/>
      <c r="H266" s="1"/>
      <c r="I266" s="1"/>
      <c r="J266" s="1"/>
      <c r="K266" s="1"/>
    </row>
    <row r="267" spans="1:11">
      <c r="A267" s="1"/>
      <c r="B267" s="1"/>
      <c r="C267" s="1"/>
      <c r="D267" s="1"/>
      <c r="E267" s="1"/>
      <c r="F267" s="1"/>
      <c r="G267" s="1"/>
      <c r="H267" s="1"/>
      <c r="I267" s="1"/>
      <c r="J267" s="1"/>
      <c r="K267" s="1"/>
    </row>
    <row r="268" spans="1:11">
      <c r="A268" s="1"/>
      <c r="B268" s="1"/>
      <c r="C268" s="1"/>
      <c r="D268" s="1"/>
      <c r="E268" s="1"/>
      <c r="F268" s="1"/>
      <c r="G268" s="1"/>
      <c r="H268" s="1"/>
      <c r="I268" s="1"/>
      <c r="J268" s="1"/>
      <c r="K268" s="1"/>
    </row>
    <row r="269" spans="1:11">
      <c r="A269" s="1"/>
      <c r="B269" s="1"/>
      <c r="C269" s="1"/>
      <c r="D269" s="1"/>
      <c r="E269" s="1"/>
      <c r="F269" s="1"/>
      <c r="G269" s="1"/>
      <c r="H269" s="1"/>
      <c r="I269" s="1"/>
      <c r="J269" s="1"/>
      <c r="K269" s="1"/>
    </row>
    <row r="270" spans="1:11">
      <c r="A270" s="1"/>
      <c r="B270" s="1"/>
      <c r="C270" s="1"/>
      <c r="D270" s="1"/>
      <c r="E270" s="1"/>
      <c r="F270" s="1"/>
      <c r="G270" s="1"/>
      <c r="H270" s="1"/>
      <c r="I270" s="1"/>
      <c r="J270" s="1"/>
      <c r="K270" s="1"/>
    </row>
    <row r="271" spans="1:11">
      <c r="A271" s="1"/>
      <c r="B271" s="1"/>
      <c r="C271" s="1"/>
      <c r="D271" s="1"/>
      <c r="E271" s="1"/>
      <c r="F271" s="1"/>
      <c r="G271" s="1"/>
      <c r="H271" s="1"/>
      <c r="I271" s="1"/>
      <c r="J271" s="1"/>
      <c r="K271" s="1"/>
    </row>
    <row r="272" spans="1:11">
      <c r="A272" s="1"/>
      <c r="B272" s="1"/>
      <c r="C272" s="1"/>
      <c r="D272" s="1"/>
      <c r="E272" s="1"/>
      <c r="F272" s="1"/>
      <c r="G272" s="1"/>
      <c r="H272" s="1"/>
      <c r="I272" s="1"/>
      <c r="J272" s="1"/>
      <c r="K272" s="1"/>
    </row>
    <row r="273" spans="1:11">
      <c r="A273" s="1"/>
      <c r="B273" s="1"/>
      <c r="C273" s="1"/>
      <c r="D273" s="1"/>
      <c r="E273" s="1"/>
      <c r="F273" s="1"/>
      <c r="G273" s="1"/>
      <c r="H273" s="1"/>
      <c r="I273" s="1"/>
      <c r="J273" s="1"/>
      <c r="K273" s="1"/>
    </row>
    <row r="274" spans="1:11">
      <c r="A274" s="1"/>
      <c r="B274" s="1"/>
      <c r="C274" s="1"/>
      <c r="D274" s="1"/>
      <c r="E274" s="1"/>
      <c r="F274" s="1"/>
      <c r="G274" s="1"/>
      <c r="H274" s="1"/>
      <c r="I274" s="1"/>
      <c r="J274" s="1"/>
      <c r="K274" s="1"/>
    </row>
    <row r="275" spans="1:11">
      <c r="A275" s="1"/>
      <c r="B275" s="1"/>
      <c r="C275" s="1"/>
      <c r="D275" s="1"/>
      <c r="E275" s="1"/>
      <c r="F275" s="1"/>
      <c r="G275" s="1"/>
      <c r="H275" s="1"/>
      <c r="I275" s="1"/>
      <c r="J275" s="1"/>
      <c r="K275" s="1"/>
    </row>
    <row r="276" spans="1:11">
      <c r="A276" s="1"/>
      <c r="B276" s="1"/>
      <c r="C276" s="1"/>
      <c r="D276" s="1"/>
      <c r="E276" s="1"/>
      <c r="F276" s="1"/>
      <c r="G276" s="1"/>
      <c r="H276" s="1"/>
      <c r="I276" s="1"/>
      <c r="J276" s="1"/>
      <c r="K276" s="1"/>
    </row>
    <row r="277" spans="1:11">
      <c r="A277" s="1"/>
      <c r="B277" s="1"/>
      <c r="C277" s="1"/>
      <c r="D277" s="1"/>
      <c r="E277" s="1"/>
      <c r="F277" s="1"/>
      <c r="G277" s="1"/>
      <c r="H277" s="1"/>
      <c r="I277" s="1"/>
      <c r="J277" s="1"/>
      <c r="K277" s="1"/>
    </row>
    <row r="278" spans="1:11">
      <c r="A278" s="1"/>
      <c r="B278" s="1"/>
      <c r="C278" s="1"/>
      <c r="D278" s="1"/>
      <c r="E278" s="1"/>
      <c r="F278" s="1"/>
      <c r="G278" s="1"/>
      <c r="H278" s="1"/>
      <c r="I278" s="1"/>
      <c r="J278" s="1"/>
      <c r="K278" s="1"/>
    </row>
    <row r="279" spans="1:11">
      <c r="A279" s="1"/>
      <c r="B279" s="1"/>
      <c r="C279" s="1"/>
      <c r="D279" s="1"/>
      <c r="E279" s="1"/>
      <c r="F279" s="1"/>
      <c r="G279" s="1"/>
      <c r="H279" s="1"/>
      <c r="I279" s="1"/>
      <c r="J279" s="1"/>
      <c r="K279" s="1"/>
    </row>
    <row r="280" spans="1:11">
      <c r="A280" s="1"/>
      <c r="B280" s="1"/>
      <c r="C280" s="1"/>
      <c r="D280" s="1"/>
      <c r="E280" s="1"/>
      <c r="F280" s="1"/>
      <c r="G280" s="1"/>
      <c r="H280" s="1"/>
      <c r="I280" s="1"/>
      <c r="J280" s="1"/>
      <c r="K280" s="1"/>
    </row>
    <row r="281" spans="1:11">
      <c r="A281" s="1"/>
      <c r="B281" s="1"/>
      <c r="C281" s="1"/>
      <c r="D281" s="1"/>
      <c r="E281" s="1"/>
      <c r="F281" s="1"/>
      <c r="G281" s="1"/>
      <c r="H281" s="1"/>
      <c r="I281" s="1"/>
      <c r="J281" s="1"/>
      <c r="K281" s="1"/>
    </row>
    <row r="282" spans="1:11">
      <c r="A282" s="1"/>
      <c r="B282" s="1"/>
      <c r="C282" s="1"/>
      <c r="D282" s="1"/>
      <c r="E282" s="1"/>
      <c r="F282" s="1"/>
      <c r="G282" s="1"/>
      <c r="H282" s="1"/>
      <c r="I282" s="1"/>
      <c r="J282" s="1"/>
      <c r="K282" s="1"/>
    </row>
    <row r="283" spans="1:11">
      <c r="A283" s="1"/>
      <c r="B283" s="1"/>
      <c r="C283" s="1"/>
      <c r="D283" s="1"/>
      <c r="E283" s="1"/>
      <c r="F283" s="1"/>
      <c r="G283" s="1"/>
      <c r="H283" s="1"/>
      <c r="I283" s="1"/>
      <c r="J283" s="1"/>
      <c r="K283" s="1"/>
    </row>
    <row r="284" spans="1:11">
      <c r="A284" s="1"/>
      <c r="B284" s="1"/>
      <c r="C284" s="1"/>
      <c r="D284" s="1"/>
      <c r="E284" s="1"/>
      <c r="F284" s="1"/>
      <c r="G284" s="1"/>
      <c r="H284" s="1"/>
      <c r="I284" s="1"/>
      <c r="J284" s="1"/>
      <c r="K284" s="1"/>
    </row>
    <row r="285" spans="1:11">
      <c r="A285" s="1"/>
      <c r="B285" s="1"/>
      <c r="C285" s="1"/>
      <c r="D285" s="1"/>
      <c r="E285" s="1"/>
      <c r="F285" s="1"/>
      <c r="G285" s="1"/>
      <c r="H285" s="1"/>
      <c r="I285" s="1"/>
      <c r="J285" s="1"/>
      <c r="K285" s="1"/>
    </row>
    <row r="286" spans="1:11">
      <c r="A286" s="1"/>
      <c r="B286" s="1"/>
      <c r="C286" s="1"/>
      <c r="D286" s="1"/>
      <c r="E286" s="1"/>
      <c r="F286" s="1"/>
      <c r="G286" s="1"/>
      <c r="H286" s="1"/>
      <c r="I286" s="1"/>
      <c r="J286" s="1"/>
      <c r="K286" s="1"/>
    </row>
    <row r="287" spans="1:11">
      <c r="A287" s="1"/>
      <c r="B287" s="1"/>
      <c r="C287" s="1"/>
      <c r="D287" s="1"/>
      <c r="E287" s="1"/>
      <c r="F287" s="1"/>
      <c r="G287" s="1"/>
      <c r="H287" s="1"/>
      <c r="I287" s="1"/>
      <c r="J287" s="1"/>
      <c r="K287" s="1"/>
    </row>
    <row r="288" spans="1:11">
      <c r="A288" s="1"/>
      <c r="B288" s="1"/>
      <c r="C288" s="1"/>
      <c r="D288" s="1"/>
      <c r="E288" s="1"/>
      <c r="F288" s="1"/>
      <c r="G288" s="1"/>
      <c r="H288" s="1"/>
      <c r="I288" s="1"/>
      <c r="J288" s="1"/>
      <c r="K288" s="1"/>
    </row>
    <row r="289" spans="1:11">
      <c r="A289" s="1"/>
      <c r="B289" s="1"/>
      <c r="C289" s="1"/>
      <c r="D289" s="1"/>
      <c r="E289" s="1"/>
      <c r="F289" s="1"/>
      <c r="G289" s="1"/>
      <c r="H289" s="1"/>
      <c r="I289" s="1"/>
      <c r="J289" s="1"/>
      <c r="K289" s="1"/>
    </row>
    <row r="290" spans="1:11">
      <c r="A290" s="1"/>
      <c r="B290" s="1"/>
      <c r="C290" s="1"/>
      <c r="D290" s="1"/>
      <c r="E290" s="1"/>
      <c r="F290" s="1"/>
      <c r="G290" s="1"/>
      <c r="H290" s="1"/>
      <c r="I290" s="1"/>
      <c r="J290" s="1"/>
      <c r="K290" s="1"/>
    </row>
    <row r="291" spans="1:11">
      <c r="A291" s="1"/>
      <c r="B291" s="1"/>
      <c r="C291" s="1"/>
      <c r="D291" s="1"/>
      <c r="E291" s="1"/>
      <c r="F291" s="1"/>
      <c r="G291" s="1"/>
      <c r="H291" s="1"/>
      <c r="I291" s="1"/>
      <c r="J291" s="1"/>
      <c r="K291" s="1"/>
    </row>
    <row r="292" spans="1:11">
      <c r="A292" s="1"/>
      <c r="B292" s="1"/>
      <c r="C292" s="1"/>
      <c r="D292" s="1"/>
      <c r="E292" s="1"/>
      <c r="F292" s="1"/>
      <c r="G292" s="1"/>
      <c r="H292" s="1"/>
      <c r="I292" s="1"/>
      <c r="J292" s="1"/>
      <c r="K292" s="1"/>
    </row>
    <row r="293" spans="1:11">
      <c r="A293" s="1"/>
      <c r="B293" s="1"/>
      <c r="C293" s="1"/>
      <c r="D293" s="1"/>
      <c r="E293" s="1"/>
      <c r="F293" s="1"/>
      <c r="G293" s="1"/>
      <c r="H293" s="1"/>
      <c r="I293" s="1"/>
      <c r="J293" s="1"/>
      <c r="K293" s="1"/>
    </row>
    <row r="294" spans="1:11">
      <c r="A294" s="1"/>
      <c r="B294" s="1"/>
      <c r="C294" s="1"/>
      <c r="D294" s="1"/>
      <c r="E294" s="1"/>
      <c r="F294" s="1"/>
      <c r="G294" s="1"/>
      <c r="H294" s="1"/>
      <c r="I294" s="1"/>
      <c r="J294" s="1"/>
      <c r="K294" s="1"/>
    </row>
    <row r="295" spans="1:11">
      <c r="A295" s="1"/>
      <c r="B295" s="1"/>
      <c r="C295" s="1"/>
      <c r="D295" s="1"/>
      <c r="E295" s="1"/>
      <c r="F295" s="1"/>
      <c r="G295" s="1"/>
      <c r="H295" s="1"/>
      <c r="I295" s="1"/>
      <c r="J295" s="1"/>
      <c r="K295" s="1"/>
    </row>
    <row r="296" spans="1:11">
      <c r="A296" s="1"/>
      <c r="B296" s="1"/>
      <c r="C296" s="1"/>
      <c r="D296" s="1"/>
      <c r="E296" s="1"/>
      <c r="F296" s="1"/>
      <c r="G296" s="1"/>
      <c r="H296" s="1"/>
      <c r="I296" s="1"/>
      <c r="J296" s="1"/>
      <c r="K296" s="1"/>
    </row>
    <row r="297" spans="1:11">
      <c r="A297" s="1"/>
      <c r="B297" s="1"/>
      <c r="C297" s="1"/>
      <c r="D297" s="1"/>
      <c r="E297" s="1"/>
      <c r="F297" s="1"/>
      <c r="G297" s="1"/>
      <c r="H297" s="1"/>
      <c r="I297" s="1"/>
      <c r="J297" s="1"/>
      <c r="K297" s="1"/>
    </row>
    <row r="298" spans="1:11">
      <c r="A298" s="1"/>
      <c r="B298" s="1"/>
      <c r="C298" s="1"/>
      <c r="D298" s="1"/>
      <c r="E298" s="1"/>
      <c r="F298" s="1"/>
      <c r="G298" s="1"/>
      <c r="H298" s="1"/>
      <c r="I298" s="1"/>
      <c r="J298" s="1"/>
      <c r="K298" s="1"/>
    </row>
    <row r="299" spans="1:11">
      <c r="A299" s="1"/>
      <c r="B299" s="1"/>
      <c r="C299" s="1"/>
      <c r="D299" s="1"/>
      <c r="E299" s="1"/>
      <c r="F299" s="1"/>
      <c r="G299" s="1"/>
      <c r="H299" s="1"/>
      <c r="I299" s="1"/>
      <c r="J299" s="1"/>
      <c r="K299" s="1"/>
    </row>
    <row r="300" spans="1:11">
      <c r="A300" s="1"/>
      <c r="B300" s="1"/>
      <c r="C300" s="1"/>
      <c r="D300" s="1"/>
      <c r="E300" s="1"/>
      <c r="F300" s="1"/>
      <c r="G300" s="1"/>
      <c r="H300" s="1"/>
      <c r="I300" s="1"/>
      <c r="J300" s="1"/>
      <c r="K300" s="1"/>
    </row>
    <row r="301" spans="1:11">
      <c r="A301" s="1"/>
      <c r="B301" s="1"/>
      <c r="C301" s="1"/>
      <c r="D301" s="1"/>
      <c r="E301" s="1"/>
      <c r="F301" s="1"/>
      <c r="G301" s="1"/>
      <c r="H301" s="1"/>
      <c r="I301" s="1"/>
      <c r="J301" s="1"/>
      <c r="K301" s="1"/>
    </row>
    <row r="302" spans="1:11">
      <c r="A302" s="1"/>
      <c r="B302" s="1"/>
      <c r="C302" s="1"/>
      <c r="D302" s="1"/>
      <c r="E302" s="1"/>
      <c r="F302" s="1"/>
      <c r="G302" s="1"/>
      <c r="H302" s="1"/>
      <c r="I302" s="1"/>
      <c r="J302" s="1"/>
      <c r="K302" s="1"/>
    </row>
    <row r="303" spans="1:11">
      <c r="A303" s="1"/>
      <c r="B303" s="1"/>
      <c r="C303" s="1"/>
      <c r="D303" s="1"/>
      <c r="E303" s="1"/>
      <c r="F303" s="1"/>
      <c r="G303" s="1"/>
      <c r="H303" s="1"/>
      <c r="I303" s="1"/>
      <c r="J303" s="1"/>
      <c r="K303" s="1"/>
    </row>
    <row r="304" spans="1:11">
      <c r="A304" s="1"/>
      <c r="B304" s="1"/>
      <c r="C304" s="1"/>
      <c r="D304" s="1"/>
      <c r="E304" s="1"/>
      <c r="F304" s="1"/>
      <c r="G304" s="1"/>
      <c r="H304" s="1"/>
      <c r="I304" s="1"/>
      <c r="J304" s="1"/>
      <c r="K304" s="1"/>
    </row>
    <row r="305" spans="1:11">
      <c r="A305" s="1"/>
      <c r="B305" s="1"/>
      <c r="C305" s="1"/>
      <c r="D305" s="1"/>
      <c r="E305" s="1"/>
      <c r="F305" s="1"/>
      <c r="G305" s="1"/>
      <c r="H305" s="1"/>
      <c r="I305" s="1"/>
      <c r="J305" s="1"/>
      <c r="K305" s="1"/>
    </row>
    <row r="306" spans="1:11">
      <c r="A306" s="1"/>
      <c r="B306" s="1"/>
      <c r="C306" s="1"/>
      <c r="D306" s="1"/>
      <c r="E306" s="1"/>
      <c r="F306" s="1"/>
      <c r="G306" s="1"/>
      <c r="H306" s="1"/>
      <c r="I306" s="1"/>
      <c r="J306" s="1"/>
      <c r="K306" s="1"/>
    </row>
    <row r="307" spans="1:11">
      <c r="A307" s="1"/>
      <c r="B307" s="1"/>
      <c r="C307" s="1"/>
      <c r="D307" s="1"/>
      <c r="E307" s="1"/>
      <c r="F307" s="1"/>
      <c r="G307" s="1"/>
      <c r="H307" s="1"/>
      <c r="I307" s="1"/>
      <c r="J307" s="1"/>
      <c r="K307" s="1"/>
    </row>
    <row r="308" spans="1:11">
      <c r="A308" s="1"/>
      <c r="B308" s="1"/>
      <c r="C308" s="1"/>
      <c r="D308" s="1"/>
      <c r="E308" s="1"/>
      <c r="F308" s="1"/>
      <c r="G308" s="1"/>
      <c r="H308" s="1"/>
      <c r="I308" s="1"/>
      <c r="J308" s="1"/>
      <c r="K308" s="1"/>
    </row>
    <row r="309" spans="1:11">
      <c r="A309" s="1"/>
      <c r="B309" s="1"/>
      <c r="C309" s="1"/>
      <c r="D309" s="1"/>
      <c r="E309" s="1"/>
      <c r="F309" s="1"/>
      <c r="G309" s="1"/>
      <c r="H309" s="1"/>
      <c r="I309" s="1"/>
      <c r="J309" s="1"/>
      <c r="K309" s="1"/>
    </row>
    <row r="310" spans="1:11">
      <c r="A310" s="1"/>
      <c r="B310" s="1"/>
      <c r="C310" s="1"/>
      <c r="D310" s="1"/>
      <c r="E310" s="1"/>
      <c r="F310" s="1"/>
      <c r="G310" s="1"/>
      <c r="H310" s="1"/>
      <c r="I310" s="1"/>
      <c r="J310" s="1"/>
      <c r="K310" s="1"/>
    </row>
    <row r="311" spans="1:11">
      <c r="A311" s="1"/>
      <c r="B311" s="1"/>
      <c r="C311" s="1"/>
      <c r="D311" s="1"/>
      <c r="E311" s="1"/>
      <c r="F311" s="1"/>
      <c r="G311" s="1"/>
      <c r="H311" s="1"/>
      <c r="I311" s="1"/>
      <c r="J311" s="1"/>
      <c r="K311" s="1"/>
    </row>
    <row r="312" spans="1:11">
      <c r="A312" s="1"/>
      <c r="B312" s="1"/>
      <c r="C312" s="1"/>
      <c r="D312" s="1"/>
      <c r="E312" s="1"/>
      <c r="F312" s="1"/>
      <c r="G312" s="1"/>
      <c r="H312" s="1"/>
      <c r="I312" s="1"/>
      <c r="J312" s="1"/>
      <c r="K312" s="1"/>
    </row>
    <row r="313" spans="1:11">
      <c r="A313" s="1"/>
      <c r="B313" s="1"/>
      <c r="C313" s="1"/>
      <c r="D313" s="1"/>
      <c r="E313" s="1"/>
      <c r="F313" s="1"/>
      <c r="G313" s="1"/>
      <c r="H313" s="1"/>
      <c r="I313" s="1"/>
      <c r="J313" s="1"/>
      <c r="K313" s="1"/>
    </row>
    <row r="314" spans="1:11">
      <c r="A314" s="1"/>
      <c r="B314" s="1"/>
      <c r="C314" s="1"/>
      <c r="D314" s="1"/>
      <c r="E314" s="1"/>
      <c r="F314" s="1"/>
      <c r="G314" s="1"/>
      <c r="H314" s="1"/>
      <c r="I314" s="1"/>
      <c r="J314" s="1"/>
      <c r="K314" s="1"/>
    </row>
    <row r="315" spans="1:11">
      <c r="A315" s="1"/>
      <c r="B315" s="1"/>
      <c r="C315" s="1"/>
      <c r="D315" s="1"/>
      <c r="E315" s="1"/>
      <c r="F315" s="1"/>
      <c r="G315" s="1"/>
      <c r="H315" s="1"/>
      <c r="I315" s="1"/>
      <c r="J315" s="1"/>
      <c r="K315" s="1"/>
    </row>
    <row r="316" spans="1:11">
      <c r="A316" s="1"/>
      <c r="B316" s="1"/>
      <c r="C316" s="1"/>
      <c r="D316" s="1"/>
      <c r="E316" s="1"/>
      <c r="F316" s="1"/>
      <c r="G316" s="1"/>
      <c r="H316" s="1"/>
      <c r="I316" s="1"/>
      <c r="J316" s="1"/>
      <c r="K316" s="1"/>
    </row>
    <row r="317" spans="1:11">
      <c r="A317" s="1"/>
      <c r="B317" s="1"/>
      <c r="C317" s="1"/>
      <c r="D317" s="1"/>
      <c r="E317" s="1"/>
      <c r="F317" s="1"/>
      <c r="G317" s="1"/>
      <c r="H317" s="1"/>
      <c r="I317" s="1"/>
      <c r="J317" s="1"/>
      <c r="K317" s="1"/>
    </row>
    <row r="318" spans="1:11">
      <c r="A318" s="1"/>
      <c r="B318" s="1"/>
      <c r="C318" s="1"/>
      <c r="D318" s="1"/>
      <c r="E318" s="1"/>
      <c r="F318" s="1"/>
      <c r="G318" s="1"/>
      <c r="H318" s="1"/>
      <c r="I318" s="1"/>
      <c r="J318" s="1"/>
      <c r="K318" s="1"/>
    </row>
    <row r="319" spans="1:11">
      <c r="A319" s="1"/>
      <c r="B319" s="1"/>
      <c r="C319" s="1"/>
      <c r="D319" s="1"/>
      <c r="E319" s="1"/>
      <c r="F319" s="1"/>
      <c r="G319" s="1"/>
      <c r="H319" s="1"/>
      <c r="I319" s="1"/>
      <c r="J319" s="1"/>
      <c r="K319" s="1"/>
    </row>
    <row r="320" spans="1:11">
      <c r="A320" s="1"/>
      <c r="B320" s="1"/>
      <c r="C320" s="1"/>
      <c r="D320" s="1"/>
      <c r="E320" s="1"/>
      <c r="F320" s="1"/>
      <c r="G320" s="1"/>
      <c r="H320" s="1"/>
      <c r="I320" s="1"/>
      <c r="J320" s="1"/>
      <c r="K320" s="1"/>
    </row>
    <row r="321" spans="1:11">
      <c r="A321" s="1"/>
      <c r="B321" s="1"/>
      <c r="C321" s="1"/>
      <c r="D321" s="1"/>
      <c r="E321" s="1"/>
      <c r="F321" s="1"/>
      <c r="G321" s="1"/>
      <c r="H321" s="1"/>
      <c r="I321" s="1"/>
      <c r="J321" s="1"/>
      <c r="K321" s="1"/>
    </row>
    <row r="322" spans="1:11">
      <c r="A322" s="1"/>
      <c r="B322" s="1"/>
      <c r="C322" s="1"/>
      <c r="D322" s="1"/>
      <c r="E322" s="1"/>
      <c r="F322" s="1"/>
      <c r="G322" s="1"/>
      <c r="H322" s="1"/>
      <c r="I322" s="1"/>
      <c r="J322" s="1"/>
      <c r="K322" s="1"/>
    </row>
    <row r="323" spans="1:11">
      <c r="A323" s="1"/>
      <c r="B323" s="1"/>
      <c r="C323" s="1"/>
      <c r="D323" s="1"/>
      <c r="E323" s="1"/>
      <c r="F323" s="1"/>
      <c r="G323" s="1"/>
      <c r="H323" s="1"/>
      <c r="I323" s="1"/>
      <c r="J323" s="1"/>
      <c r="K323" s="1"/>
    </row>
    <row r="324" spans="1:11">
      <c r="A324" s="1"/>
      <c r="B324" s="1"/>
      <c r="C324" s="1"/>
      <c r="D324" s="1"/>
      <c r="E324" s="1"/>
      <c r="F324" s="1"/>
      <c r="G324" s="1"/>
      <c r="H324" s="1"/>
      <c r="I324" s="1"/>
      <c r="J324" s="1"/>
      <c r="K324" s="1"/>
    </row>
    <row r="325" spans="1:11">
      <c r="A325" s="1"/>
      <c r="B325" s="1"/>
      <c r="C325" s="1"/>
      <c r="D325" s="1"/>
      <c r="E325" s="1"/>
      <c r="F325" s="1"/>
      <c r="G325" s="1"/>
      <c r="H325" s="1"/>
      <c r="I325" s="1"/>
      <c r="J325" s="1"/>
      <c r="K325" s="1"/>
    </row>
    <row r="326" spans="1:11">
      <c r="A326" s="1"/>
      <c r="B326" s="1"/>
      <c r="C326" s="1"/>
      <c r="D326" s="1"/>
      <c r="E326" s="1"/>
      <c r="F326" s="1"/>
      <c r="G326" s="1"/>
      <c r="H326" s="1"/>
      <c r="I326" s="1"/>
      <c r="J326" s="1"/>
      <c r="K326" s="1"/>
    </row>
    <row r="327" spans="1:11">
      <c r="A327" s="1"/>
      <c r="B327" s="1"/>
      <c r="C327" s="1"/>
      <c r="D327" s="1"/>
      <c r="E327" s="1"/>
      <c r="F327" s="1"/>
      <c r="G327" s="1"/>
      <c r="H327" s="1"/>
      <c r="I327" s="1"/>
      <c r="J327" s="1"/>
      <c r="K327" s="1"/>
    </row>
    <row r="328" spans="1:11">
      <c r="A328" s="1"/>
      <c r="B328" s="1"/>
      <c r="C328" s="1"/>
      <c r="D328" s="1"/>
      <c r="E328" s="1"/>
      <c r="F328" s="1"/>
      <c r="G328" s="1"/>
      <c r="H328" s="1"/>
      <c r="I328" s="1"/>
      <c r="J328" s="1"/>
      <c r="K328" s="1"/>
    </row>
    <row r="329" spans="1:11">
      <c r="A329" s="1"/>
      <c r="B329" s="1"/>
      <c r="C329" s="1"/>
      <c r="D329" s="1"/>
      <c r="E329" s="1"/>
      <c r="F329" s="1"/>
      <c r="G329" s="1"/>
      <c r="H329" s="1"/>
      <c r="I329" s="1"/>
      <c r="J329" s="1"/>
      <c r="K329" s="1"/>
    </row>
    <row r="330" spans="1:11">
      <c r="A330" s="1"/>
      <c r="B330" s="1"/>
      <c r="C330" s="1"/>
      <c r="D330" s="1"/>
      <c r="E330" s="1"/>
      <c r="F330" s="1"/>
      <c r="G330" s="1"/>
      <c r="H330" s="1"/>
      <c r="I330" s="1"/>
      <c r="J330" s="1"/>
      <c r="K330" s="1"/>
    </row>
    <row r="331" spans="1:11">
      <c r="A331" s="1"/>
      <c r="B331" s="1"/>
      <c r="C331" s="1"/>
      <c r="D331" s="1"/>
      <c r="E331" s="1"/>
      <c r="F331" s="1"/>
      <c r="G331" s="1"/>
      <c r="H331" s="1"/>
      <c r="I331" s="1"/>
      <c r="J331" s="1"/>
      <c r="K331" s="1"/>
    </row>
    <row r="332" spans="1:11">
      <c r="A332" s="1"/>
      <c r="B332" s="1"/>
      <c r="C332" s="1"/>
      <c r="D332" s="1"/>
      <c r="E332" s="1"/>
      <c r="F332" s="1"/>
      <c r="G332" s="1"/>
      <c r="H332" s="1"/>
      <c r="I332" s="1"/>
      <c r="J332" s="1"/>
      <c r="K332" s="1"/>
    </row>
    <row r="333" spans="1:11">
      <c r="A333" s="1"/>
      <c r="B333" s="1"/>
      <c r="C333" s="1"/>
      <c r="D333" s="1"/>
      <c r="E333" s="1"/>
      <c r="F333" s="1"/>
      <c r="G333" s="1"/>
      <c r="H333" s="1"/>
      <c r="I333" s="1"/>
      <c r="J333" s="1"/>
      <c r="K333" s="1"/>
    </row>
    <row r="334" spans="1:11">
      <c r="A334" s="1"/>
      <c r="B334" s="1"/>
      <c r="C334" s="1"/>
      <c r="D334" s="1"/>
      <c r="E334" s="1"/>
      <c r="F334" s="1"/>
      <c r="G334" s="1"/>
      <c r="H334" s="1"/>
      <c r="I334" s="1"/>
      <c r="J334" s="1"/>
      <c r="K334" s="1"/>
    </row>
    <row r="335" spans="1:11">
      <c r="A335" s="1"/>
      <c r="B335" s="1"/>
      <c r="C335" s="1"/>
      <c r="D335" s="1"/>
      <c r="E335" s="1"/>
      <c r="F335" s="1"/>
      <c r="G335" s="1"/>
      <c r="H335" s="1"/>
      <c r="I335" s="1"/>
      <c r="J335" s="1"/>
      <c r="K335" s="1"/>
    </row>
    <row r="336" spans="1:11">
      <c r="A336" s="1"/>
      <c r="B336" s="1"/>
      <c r="C336" s="1"/>
      <c r="D336" s="1"/>
      <c r="E336" s="1"/>
      <c r="F336" s="1"/>
      <c r="G336" s="1"/>
      <c r="H336" s="1"/>
      <c r="I336" s="1"/>
      <c r="J336" s="1"/>
      <c r="K336" s="1"/>
    </row>
    <row r="337" spans="1:11">
      <c r="A337" s="1"/>
      <c r="B337" s="1"/>
      <c r="C337" s="1"/>
      <c r="D337" s="1"/>
      <c r="E337" s="1"/>
      <c r="F337" s="1"/>
      <c r="G337" s="1"/>
      <c r="H337" s="1"/>
      <c r="I337" s="1"/>
      <c r="J337" s="1"/>
      <c r="K337" s="1"/>
    </row>
    <row r="338" spans="1:11">
      <c r="A338" s="1"/>
      <c r="B338" s="1"/>
      <c r="C338" s="1"/>
      <c r="D338" s="1"/>
      <c r="E338" s="1"/>
      <c r="F338" s="1"/>
      <c r="G338" s="1"/>
      <c r="H338" s="1"/>
      <c r="I338" s="1"/>
      <c r="J338" s="1"/>
      <c r="K338" s="1"/>
    </row>
    <row r="339" spans="1:11">
      <c r="A339" s="1"/>
      <c r="B339" s="1"/>
      <c r="C339" s="1"/>
      <c r="D339" s="1"/>
      <c r="E339" s="1"/>
      <c r="F339" s="1"/>
      <c r="G339" s="1"/>
      <c r="H339" s="1"/>
      <c r="I339" s="1"/>
      <c r="J339" s="1"/>
      <c r="K339" s="1"/>
    </row>
    <row r="340" spans="1:11">
      <c r="A340" s="1"/>
      <c r="B340" s="1"/>
      <c r="C340" s="1"/>
      <c r="D340" s="1"/>
      <c r="E340" s="1"/>
      <c r="F340" s="1"/>
      <c r="G340" s="1"/>
      <c r="H340" s="1"/>
      <c r="I340" s="1"/>
      <c r="J340" s="1"/>
      <c r="K340" s="1"/>
    </row>
    <row r="341" spans="1:11">
      <c r="A341" s="1"/>
      <c r="B341" s="1"/>
      <c r="C341" s="1"/>
      <c r="D341" s="1"/>
      <c r="E341" s="1"/>
      <c r="F341" s="1"/>
      <c r="G341" s="1"/>
      <c r="H341" s="1"/>
      <c r="I341" s="1"/>
      <c r="J341" s="1"/>
      <c r="K341" s="1"/>
    </row>
    <row r="342" spans="1:11">
      <c r="A342" s="1"/>
      <c r="B342" s="1"/>
      <c r="C342" s="1"/>
      <c r="D342" s="1"/>
      <c r="E342" s="1"/>
      <c r="F342" s="1"/>
      <c r="G342" s="1"/>
      <c r="H342" s="1"/>
      <c r="I342" s="1"/>
      <c r="J342" s="1"/>
      <c r="K342" s="1"/>
    </row>
    <row r="343" spans="1:11">
      <c r="A343" s="1"/>
      <c r="B343" s="1"/>
      <c r="C343" s="1"/>
      <c r="D343" s="1"/>
      <c r="E343" s="1"/>
      <c r="F343" s="1"/>
      <c r="G343" s="1"/>
      <c r="H343" s="1"/>
      <c r="I343" s="1"/>
      <c r="J343" s="1"/>
      <c r="K343" s="1"/>
    </row>
    <row r="344" spans="1:11">
      <c r="A344" s="1"/>
      <c r="B344" s="1"/>
      <c r="C344" s="1"/>
      <c r="D344" s="1"/>
      <c r="E344" s="1"/>
      <c r="F344" s="1"/>
      <c r="G344" s="1"/>
      <c r="H344" s="1"/>
      <c r="I344" s="1"/>
      <c r="J344" s="1"/>
      <c r="K344" s="1"/>
    </row>
    <row r="345" spans="1:11">
      <c r="A345" s="1"/>
      <c r="B345" s="1"/>
      <c r="C345" s="1"/>
      <c r="D345" s="1"/>
      <c r="E345" s="1"/>
      <c r="F345" s="1"/>
      <c r="G345" s="1"/>
      <c r="H345" s="1"/>
      <c r="I345" s="1"/>
      <c r="J345" s="1"/>
      <c r="K345" s="1"/>
    </row>
    <row r="346" spans="1:11">
      <c r="A346" s="1"/>
      <c r="B346" s="1"/>
      <c r="C346" s="1"/>
      <c r="D346" s="1"/>
      <c r="E346" s="1"/>
      <c r="F346" s="1"/>
      <c r="G346" s="1"/>
      <c r="H346" s="1"/>
      <c r="I346" s="1"/>
      <c r="J346" s="1"/>
      <c r="K346" s="1"/>
    </row>
    <row r="347" spans="1:11">
      <c r="A347" s="1"/>
      <c r="B347" s="1"/>
      <c r="C347" s="1"/>
      <c r="D347" s="1"/>
      <c r="E347" s="1"/>
      <c r="F347" s="1"/>
      <c r="G347" s="1"/>
      <c r="H347" s="1"/>
      <c r="I347" s="1"/>
      <c r="J347" s="1"/>
      <c r="K347" s="1"/>
    </row>
    <row r="348" spans="1:11">
      <c r="A348" s="1"/>
      <c r="B348" s="1"/>
      <c r="C348" s="1"/>
      <c r="D348" s="1"/>
      <c r="E348" s="1"/>
      <c r="F348" s="1"/>
      <c r="G348" s="1"/>
      <c r="H348" s="1"/>
      <c r="I348" s="1"/>
      <c r="J348" s="1"/>
      <c r="K348" s="1"/>
    </row>
    <row r="349" spans="1:11">
      <c r="A349" s="1"/>
      <c r="B349" s="1"/>
      <c r="C349" s="1"/>
      <c r="D349" s="1"/>
      <c r="E349" s="1"/>
      <c r="F349" s="1"/>
      <c r="G349" s="1"/>
      <c r="H349" s="1"/>
      <c r="I349" s="1"/>
      <c r="J349" s="1"/>
      <c r="K349" s="1"/>
    </row>
    <row r="350" spans="1:11">
      <c r="A350" s="1"/>
      <c r="B350" s="1"/>
      <c r="C350" s="1"/>
      <c r="D350" s="1"/>
      <c r="E350" s="1"/>
      <c r="F350" s="1"/>
      <c r="G350" s="1"/>
      <c r="H350" s="1"/>
      <c r="I350" s="1"/>
      <c r="J350" s="1"/>
      <c r="K350" s="1"/>
    </row>
    <row r="351" spans="1:11">
      <c r="A351" s="1"/>
      <c r="B351" s="1"/>
      <c r="C351" s="1"/>
      <c r="D351" s="1"/>
      <c r="E351" s="1"/>
      <c r="F351" s="1"/>
      <c r="G351" s="1"/>
      <c r="H351" s="1"/>
      <c r="I351" s="1"/>
      <c r="J351" s="1"/>
      <c r="K351" s="1"/>
    </row>
    <row r="352" spans="1:11">
      <c r="A352" s="1"/>
      <c r="B352" s="1"/>
      <c r="C352" s="1"/>
      <c r="D352" s="1"/>
      <c r="E352" s="1"/>
      <c r="F352" s="1"/>
      <c r="G352" s="1"/>
      <c r="H352" s="1"/>
      <c r="I352" s="1"/>
      <c r="J352" s="1"/>
      <c r="K352" s="1"/>
    </row>
    <row r="353" spans="1:11">
      <c r="A353" s="1"/>
      <c r="B353" s="1"/>
      <c r="C353" s="1"/>
      <c r="D353" s="1"/>
      <c r="E353" s="1"/>
      <c r="F353" s="1"/>
      <c r="G353" s="1"/>
      <c r="H353" s="1"/>
      <c r="I353" s="1"/>
      <c r="J353" s="1"/>
      <c r="K353" s="1"/>
    </row>
    <row r="354" spans="1:11">
      <c r="A354" s="1"/>
      <c r="B354" s="1"/>
      <c r="C354" s="1"/>
      <c r="D354" s="1"/>
      <c r="E354" s="1"/>
      <c r="F354" s="1"/>
      <c r="G354" s="1"/>
      <c r="H354" s="1"/>
      <c r="I354" s="1"/>
      <c r="J354" s="1"/>
      <c r="K354" s="1"/>
    </row>
    <row r="355" spans="1:11">
      <c r="A355" s="1"/>
      <c r="B355" s="1"/>
      <c r="C355" s="1"/>
      <c r="D355" s="1"/>
      <c r="E355" s="1"/>
      <c r="F355" s="1"/>
      <c r="G355" s="1"/>
      <c r="H355" s="1"/>
      <c r="I355" s="1"/>
      <c r="J355" s="1"/>
      <c r="K355" s="1"/>
    </row>
    <row r="356" spans="1:11">
      <c r="A356" s="1"/>
      <c r="B356" s="1"/>
      <c r="C356" s="1"/>
      <c r="D356" s="1"/>
      <c r="E356" s="1"/>
      <c r="F356" s="1"/>
      <c r="G356" s="1"/>
      <c r="H356" s="1"/>
      <c r="I356" s="1"/>
      <c r="J356" s="1"/>
      <c r="K356" s="1"/>
    </row>
    <row r="357" spans="1:11">
      <c r="A357" s="1"/>
      <c r="B357" s="1"/>
      <c r="C357" s="1"/>
      <c r="D357" s="1"/>
      <c r="E357" s="1"/>
      <c r="F357" s="1"/>
      <c r="G357" s="1"/>
      <c r="H357" s="1"/>
      <c r="I357" s="1"/>
      <c r="J357" s="1"/>
      <c r="K357" s="1"/>
    </row>
    <row r="358" spans="1:11">
      <c r="A358" s="1"/>
      <c r="B358" s="1"/>
      <c r="C358" s="1"/>
      <c r="D358" s="1"/>
      <c r="E358" s="1"/>
      <c r="F358" s="1"/>
      <c r="G358" s="1"/>
      <c r="H358" s="1"/>
      <c r="I358" s="1"/>
      <c r="J358" s="1"/>
      <c r="K358" s="1"/>
    </row>
    <row r="359" spans="1:11">
      <c r="A359" s="1"/>
      <c r="B359" s="1"/>
      <c r="C359" s="1"/>
      <c r="D359" s="1"/>
      <c r="E359" s="1"/>
      <c r="F359" s="1"/>
      <c r="G359" s="1"/>
      <c r="H359" s="1"/>
      <c r="I359" s="1"/>
      <c r="J359" s="1"/>
      <c r="K359" s="1"/>
    </row>
    <row r="360" spans="1:11">
      <c r="A360" s="1"/>
      <c r="B360" s="1"/>
      <c r="C360" s="1"/>
      <c r="D360" s="1"/>
      <c r="E360" s="1"/>
      <c r="F360" s="1"/>
      <c r="G360" s="1"/>
      <c r="H360" s="1"/>
      <c r="I360" s="1"/>
      <c r="J360" s="1"/>
      <c r="K360" s="1"/>
    </row>
    <row r="361" spans="1:11">
      <c r="A361" s="1"/>
      <c r="B361" s="1"/>
      <c r="C361" s="1"/>
      <c r="D361" s="1"/>
      <c r="E361" s="1"/>
      <c r="F361" s="1"/>
      <c r="G361" s="1"/>
      <c r="H361" s="1"/>
      <c r="I361" s="1"/>
      <c r="J361" s="1"/>
      <c r="K361" s="1"/>
    </row>
    <row r="362" spans="1:11">
      <c r="A362" s="1"/>
      <c r="B362" s="1"/>
      <c r="C362" s="1"/>
      <c r="D362" s="1"/>
      <c r="E362" s="1"/>
      <c r="F362" s="1"/>
      <c r="G362" s="1"/>
      <c r="H362" s="1"/>
      <c r="I362" s="1"/>
      <c r="J362" s="1"/>
      <c r="K362" s="1"/>
    </row>
    <row r="363" spans="1:11">
      <c r="A363" s="1"/>
      <c r="B363" s="1"/>
      <c r="C363" s="1"/>
      <c r="D363" s="1"/>
      <c r="E363" s="1"/>
      <c r="F363" s="1"/>
      <c r="G363" s="1"/>
      <c r="H363" s="1"/>
      <c r="I363" s="1"/>
      <c r="J363" s="1"/>
      <c r="K363" s="1"/>
    </row>
    <row r="364" spans="1:11">
      <c r="A364" s="1"/>
      <c r="B364" s="1"/>
      <c r="C364" s="1"/>
      <c r="D364" s="1"/>
      <c r="E364" s="1"/>
      <c r="F364" s="1"/>
      <c r="G364" s="1"/>
      <c r="H364" s="1"/>
      <c r="I364" s="1"/>
      <c r="J364" s="1"/>
      <c r="K364" s="1"/>
    </row>
    <row r="365" spans="1:11">
      <c r="A365" s="1"/>
      <c r="B365" s="1"/>
      <c r="C365" s="1"/>
      <c r="D365" s="1"/>
      <c r="E365" s="1"/>
      <c r="F365" s="1"/>
      <c r="G365" s="1"/>
      <c r="H365" s="1"/>
      <c r="I365" s="1"/>
      <c r="J365" s="1"/>
      <c r="K365" s="1"/>
    </row>
    <row r="366" spans="1:11">
      <c r="A366" s="1"/>
      <c r="B366" s="1"/>
      <c r="C366" s="1"/>
      <c r="D366" s="1"/>
      <c r="E366" s="1"/>
      <c r="F366" s="1"/>
      <c r="G366" s="1"/>
      <c r="H366" s="1"/>
      <c r="I366" s="1"/>
      <c r="J366" s="1"/>
      <c r="K366" s="1"/>
    </row>
    <row r="367" spans="1:11">
      <c r="A367" s="1"/>
      <c r="B367" s="1"/>
      <c r="C367" s="1"/>
      <c r="D367" s="1"/>
      <c r="E367" s="1"/>
      <c r="F367" s="1"/>
      <c r="G367" s="1"/>
      <c r="H367" s="1"/>
      <c r="I367" s="1"/>
      <c r="J367" s="1"/>
      <c r="K367" s="1"/>
    </row>
    <row r="368" spans="1:11">
      <c r="A368" s="1"/>
      <c r="B368" s="1"/>
      <c r="C368" s="1"/>
      <c r="D368" s="1"/>
      <c r="E368" s="1"/>
      <c r="F368" s="1"/>
      <c r="G368" s="1"/>
      <c r="H368" s="1"/>
      <c r="I368" s="1"/>
      <c r="J368" s="1"/>
      <c r="K368" s="1"/>
    </row>
    <row r="369" spans="1:11">
      <c r="A369" s="1"/>
      <c r="B369" s="1"/>
      <c r="C369" s="1"/>
      <c r="D369" s="1"/>
      <c r="E369" s="1"/>
      <c r="F369" s="1"/>
      <c r="G369" s="1"/>
      <c r="H369" s="1"/>
      <c r="I369" s="1"/>
      <c r="J369" s="1"/>
      <c r="K369" s="1"/>
    </row>
    <row r="370" spans="1:11">
      <c r="A370" s="1"/>
      <c r="B370" s="1"/>
      <c r="C370" s="1"/>
      <c r="D370" s="1"/>
      <c r="E370" s="1"/>
      <c r="F370" s="1"/>
      <c r="G370" s="1"/>
      <c r="H370" s="1"/>
      <c r="I370" s="1"/>
      <c r="J370" s="1"/>
      <c r="K370" s="1"/>
    </row>
    <row r="371" spans="1:11">
      <c r="A371" s="1"/>
      <c r="B371" s="1"/>
      <c r="C371" s="1"/>
      <c r="D371" s="1"/>
      <c r="E371" s="1"/>
      <c r="F371" s="1"/>
      <c r="G371" s="1"/>
      <c r="H371" s="1"/>
      <c r="I371" s="1"/>
      <c r="J371" s="1"/>
      <c r="K371" s="1"/>
    </row>
    <row r="372" spans="1:11">
      <c r="A372" s="1"/>
      <c r="B372" s="1"/>
      <c r="C372" s="1"/>
      <c r="D372" s="1"/>
      <c r="E372" s="1"/>
      <c r="F372" s="1"/>
      <c r="G372" s="1"/>
      <c r="H372" s="1"/>
      <c r="I372" s="1"/>
      <c r="J372" s="1"/>
      <c r="K372" s="1"/>
    </row>
    <row r="373" spans="1:11">
      <c r="A373" s="1"/>
      <c r="B373" s="1"/>
      <c r="C373" s="1"/>
      <c r="D373" s="1"/>
      <c r="E373" s="1"/>
      <c r="F373" s="1"/>
      <c r="G373" s="1"/>
      <c r="H373" s="1"/>
      <c r="I373" s="1"/>
      <c r="J373" s="1"/>
      <c r="K373" s="1"/>
    </row>
    <row r="374" spans="1:11">
      <c r="A374" s="1"/>
      <c r="B374" s="1"/>
      <c r="C374" s="1"/>
      <c r="D374" s="1"/>
      <c r="E374" s="1"/>
      <c r="F374" s="1"/>
      <c r="G374" s="1"/>
      <c r="H374" s="1"/>
      <c r="I374" s="1"/>
      <c r="J374" s="1"/>
      <c r="K374" s="1"/>
    </row>
    <row r="375" spans="1:11">
      <c r="A375" s="1"/>
      <c r="B375" s="1"/>
      <c r="C375" s="1"/>
      <c r="D375" s="1"/>
      <c r="E375" s="1"/>
      <c r="F375" s="1"/>
      <c r="G375" s="1"/>
      <c r="H375" s="1"/>
      <c r="I375" s="1"/>
      <c r="J375" s="1"/>
      <c r="K375" s="1"/>
    </row>
    <row r="376" spans="1:11">
      <c r="A376" s="1"/>
      <c r="B376" s="1"/>
      <c r="C376" s="1"/>
      <c r="D376" s="1"/>
      <c r="E376" s="1"/>
      <c r="F376" s="1"/>
      <c r="G376" s="1"/>
      <c r="H376" s="1"/>
      <c r="I376" s="1"/>
      <c r="J376" s="1"/>
      <c r="K376" s="1"/>
    </row>
    <row r="377" spans="1:11">
      <c r="A377" s="1"/>
      <c r="B377" s="1"/>
      <c r="C377" s="1"/>
      <c r="D377" s="1"/>
      <c r="E377" s="1"/>
      <c r="F377" s="1"/>
      <c r="G377" s="1"/>
      <c r="H377" s="1"/>
      <c r="I377" s="1"/>
      <c r="J377" s="1"/>
      <c r="K377" s="1"/>
    </row>
    <row r="378" spans="1:11">
      <c r="A378" s="1"/>
      <c r="B378" s="1"/>
      <c r="C378" s="1"/>
      <c r="D378" s="1"/>
      <c r="E378" s="1"/>
      <c r="F378" s="1"/>
      <c r="G378" s="1"/>
      <c r="H378" s="1"/>
      <c r="I378" s="1"/>
      <c r="J378" s="1"/>
      <c r="K378" s="1"/>
    </row>
    <row r="379" spans="1:11">
      <c r="A379" s="1"/>
      <c r="B379" s="1"/>
      <c r="C379" s="1"/>
      <c r="D379" s="1"/>
      <c r="E379" s="1"/>
      <c r="F379" s="1"/>
      <c r="G379" s="1"/>
      <c r="H379" s="1"/>
      <c r="I379" s="1"/>
      <c r="J379" s="1"/>
      <c r="K379" s="1"/>
    </row>
    <row r="380" spans="1:11">
      <c r="A380" s="1"/>
      <c r="B380" s="1"/>
      <c r="C380" s="1"/>
      <c r="D380" s="1"/>
      <c r="E380" s="1"/>
      <c r="F380" s="1"/>
      <c r="G380" s="1"/>
      <c r="H380" s="1"/>
      <c r="I380" s="1"/>
      <c r="J380" s="1"/>
      <c r="K380" s="1"/>
    </row>
    <row r="381" spans="1:11">
      <c r="A381" s="1"/>
      <c r="B381" s="1"/>
      <c r="C381" s="1"/>
      <c r="D381" s="1"/>
      <c r="E381" s="1"/>
      <c r="F381" s="1"/>
      <c r="G381" s="1"/>
      <c r="H381" s="1"/>
      <c r="I381" s="1"/>
      <c r="J381" s="1"/>
      <c r="K381" s="1"/>
    </row>
    <row r="382" spans="1:11">
      <c r="A382" s="1"/>
      <c r="B382" s="1"/>
      <c r="C382" s="1"/>
      <c r="D382" s="1"/>
      <c r="E382" s="1"/>
      <c r="F382" s="1"/>
      <c r="G382" s="1"/>
      <c r="H382" s="1"/>
      <c r="I382" s="1"/>
      <c r="J382" s="1"/>
      <c r="K382" s="1"/>
    </row>
    <row r="383" spans="1:11">
      <c r="A383" s="1"/>
      <c r="B383" s="1"/>
      <c r="C383" s="1"/>
      <c r="D383" s="1"/>
      <c r="E383" s="1"/>
      <c r="F383" s="1"/>
      <c r="G383" s="1"/>
      <c r="H383" s="1"/>
      <c r="I383" s="1"/>
      <c r="J383" s="1"/>
      <c r="K383" s="1"/>
    </row>
    <row r="384" spans="1:11">
      <c r="A384" s="1"/>
      <c r="B384" s="1"/>
      <c r="C384" s="1"/>
      <c r="D384" s="1"/>
      <c r="E384" s="1"/>
      <c r="F384" s="1"/>
      <c r="G384" s="1"/>
      <c r="H384" s="1"/>
      <c r="I384" s="1"/>
      <c r="J384" s="1"/>
      <c r="K384" s="1"/>
    </row>
    <row r="385" spans="1:11">
      <c r="A385" s="1"/>
      <c r="B385" s="1"/>
      <c r="C385" s="1"/>
      <c r="D385" s="1"/>
      <c r="E385" s="1"/>
      <c r="F385" s="1"/>
      <c r="G385" s="1"/>
      <c r="H385" s="1"/>
      <c r="I385" s="1"/>
      <c r="J385" s="1"/>
      <c r="K385" s="1"/>
    </row>
    <row r="386" spans="1:11">
      <c r="A386" s="1"/>
      <c r="B386" s="1"/>
      <c r="C386" s="1"/>
      <c r="D386" s="1"/>
      <c r="E386" s="1"/>
      <c r="F386" s="1"/>
      <c r="G386" s="1"/>
      <c r="H386" s="1"/>
      <c r="I386" s="1"/>
      <c r="J386" s="1"/>
      <c r="K386" s="1"/>
    </row>
    <row r="387" spans="1:11">
      <c r="A387" s="1"/>
      <c r="B387" s="1"/>
      <c r="C387" s="1"/>
      <c r="D387" s="1"/>
      <c r="E387" s="1"/>
      <c r="F387" s="1"/>
      <c r="G387" s="1"/>
      <c r="H387" s="1"/>
      <c r="I387" s="1"/>
      <c r="J387" s="1"/>
      <c r="K387" s="1"/>
    </row>
    <row r="388" spans="1:11">
      <c r="A388" s="1"/>
      <c r="B388" s="1"/>
      <c r="C388" s="1"/>
      <c r="D388" s="1"/>
      <c r="E388" s="1"/>
      <c r="F388" s="1"/>
      <c r="G388" s="1"/>
      <c r="H388" s="1"/>
      <c r="I388" s="1"/>
      <c r="J388" s="1"/>
      <c r="K388" s="1"/>
    </row>
    <row r="389" spans="1:11">
      <c r="A389" s="1"/>
      <c r="B389" s="1"/>
      <c r="C389" s="1"/>
      <c r="D389" s="1"/>
      <c r="E389" s="1"/>
      <c r="F389" s="1"/>
      <c r="G389" s="1"/>
      <c r="H389" s="1"/>
      <c r="I389" s="1"/>
      <c r="J389" s="1"/>
      <c r="K389" s="1"/>
    </row>
    <row r="390" spans="1:11">
      <c r="A390" s="1"/>
      <c r="B390" s="1"/>
      <c r="C390" s="1"/>
      <c r="D390" s="1"/>
      <c r="E390" s="1"/>
      <c r="F390" s="1"/>
      <c r="G390" s="1"/>
      <c r="H390" s="1"/>
      <c r="I390" s="1"/>
      <c r="J390" s="1"/>
      <c r="K390" s="1"/>
    </row>
    <row r="391" spans="1:11">
      <c r="A391" s="1"/>
      <c r="B391" s="1"/>
      <c r="C391" s="1"/>
      <c r="D391" s="1"/>
      <c r="E391" s="1"/>
      <c r="F391" s="1"/>
      <c r="G391" s="1"/>
      <c r="H391" s="1"/>
      <c r="I391" s="1"/>
      <c r="J391" s="1"/>
      <c r="K391" s="1"/>
    </row>
    <row r="392" spans="1:11">
      <c r="A392" s="1"/>
      <c r="B392" s="1"/>
      <c r="C392" s="1"/>
      <c r="D392" s="1"/>
      <c r="E392" s="1"/>
      <c r="F392" s="1"/>
      <c r="G392" s="1"/>
      <c r="H392" s="1"/>
      <c r="I392" s="1"/>
      <c r="J392" s="1"/>
      <c r="K392" s="1"/>
    </row>
    <row r="393" spans="1:11">
      <c r="A393" s="1"/>
      <c r="B393" s="1"/>
      <c r="C393" s="1"/>
      <c r="D393" s="1"/>
      <c r="E393" s="1"/>
      <c r="F393" s="1"/>
      <c r="G393" s="1"/>
      <c r="H393" s="1"/>
      <c r="I393" s="1"/>
      <c r="J393" s="1"/>
      <c r="K393" s="1"/>
    </row>
    <row r="394" spans="1:11">
      <c r="A394" s="1"/>
      <c r="B394" s="1"/>
      <c r="C394" s="1"/>
      <c r="D394" s="1"/>
      <c r="E394" s="1"/>
      <c r="F394" s="1"/>
      <c r="G394" s="1"/>
      <c r="H394" s="1"/>
      <c r="I394" s="1"/>
      <c r="J394" s="1"/>
      <c r="K394" s="1"/>
    </row>
    <row r="395" spans="1:11">
      <c r="A395" s="1"/>
      <c r="B395" s="1"/>
      <c r="C395" s="1"/>
      <c r="D395" s="1"/>
      <c r="E395" s="1"/>
      <c r="F395" s="1"/>
      <c r="G395" s="1"/>
      <c r="H395" s="1"/>
      <c r="I395" s="1"/>
      <c r="J395" s="1"/>
      <c r="K395" s="1"/>
    </row>
    <row r="396" spans="1:11">
      <c r="A396" s="1"/>
      <c r="B396" s="1"/>
      <c r="C396" s="1"/>
      <c r="D396" s="1"/>
      <c r="E396" s="1"/>
      <c r="F396" s="1"/>
      <c r="G396" s="1"/>
      <c r="H396" s="1"/>
      <c r="I396" s="1"/>
      <c r="J396" s="1"/>
      <c r="K396" s="1"/>
    </row>
    <row r="397" spans="1:11">
      <c r="A397" s="1"/>
      <c r="B397" s="1"/>
      <c r="C397" s="1"/>
      <c r="D397" s="1"/>
      <c r="E397" s="1"/>
      <c r="F397" s="1"/>
      <c r="G397" s="1"/>
      <c r="H397" s="1"/>
      <c r="I397" s="1"/>
      <c r="J397" s="1"/>
      <c r="K397" s="1"/>
    </row>
    <row r="398" spans="1:11">
      <c r="A398" s="1"/>
      <c r="B398" s="1"/>
      <c r="C398" s="1"/>
      <c r="D398" s="1"/>
      <c r="E398" s="1"/>
      <c r="F398" s="1"/>
      <c r="G398" s="1"/>
      <c r="H398" s="1"/>
      <c r="I398" s="1"/>
      <c r="J398" s="1"/>
      <c r="K398" s="1"/>
    </row>
    <row r="399" spans="1:11">
      <c r="A399" s="1"/>
      <c r="B399" s="1"/>
      <c r="C399" s="1"/>
      <c r="D399" s="1"/>
      <c r="E399" s="1"/>
      <c r="F399" s="1"/>
      <c r="G399" s="1"/>
      <c r="H399" s="1"/>
      <c r="I399" s="1"/>
      <c r="J399" s="1"/>
      <c r="K399" s="1"/>
    </row>
    <row r="400" spans="1:11">
      <c r="A400" s="1"/>
      <c r="B400" s="1"/>
      <c r="C400" s="1"/>
      <c r="D400" s="1"/>
      <c r="E400" s="1"/>
      <c r="F400" s="1"/>
      <c r="G400" s="1"/>
      <c r="H400" s="1"/>
      <c r="I400" s="1"/>
      <c r="J400" s="1"/>
      <c r="K400" s="1"/>
    </row>
    <row r="401" spans="1:11">
      <c r="A401" s="1"/>
      <c r="B401" s="1"/>
      <c r="C401" s="1"/>
      <c r="D401" s="1"/>
      <c r="E401" s="1"/>
      <c r="F401" s="1"/>
      <c r="G401" s="1"/>
      <c r="H401" s="1"/>
      <c r="I401" s="1"/>
      <c r="J401" s="1"/>
      <c r="K401" s="1"/>
    </row>
    <row r="402" spans="1:11">
      <c r="A402" s="1"/>
      <c r="B402" s="1"/>
      <c r="C402" s="1"/>
      <c r="D402" s="1"/>
      <c r="E402" s="1"/>
      <c r="F402" s="1"/>
      <c r="G402" s="1"/>
      <c r="H402" s="1"/>
      <c r="I402" s="1"/>
      <c r="J402" s="1"/>
      <c r="K402" s="1"/>
    </row>
    <row r="403" spans="1:11">
      <c r="A403" s="1"/>
      <c r="B403" s="1"/>
      <c r="C403" s="1"/>
      <c r="D403" s="1"/>
      <c r="E403" s="1"/>
      <c r="F403" s="1"/>
      <c r="G403" s="1"/>
      <c r="H403" s="1"/>
      <c r="I403" s="1"/>
      <c r="J403" s="1"/>
      <c r="K403" s="1"/>
    </row>
    <row r="404" spans="1:11">
      <c r="A404" s="1"/>
      <c r="B404" s="1"/>
      <c r="C404" s="1"/>
      <c r="D404" s="1"/>
      <c r="E404" s="1"/>
      <c r="F404" s="1"/>
      <c r="G404" s="1"/>
      <c r="H404" s="1"/>
      <c r="I404" s="1"/>
      <c r="J404" s="1"/>
      <c r="K404" s="1"/>
    </row>
    <row r="405" spans="1:11">
      <c r="A405" s="1"/>
      <c r="B405" s="1"/>
      <c r="C405" s="1"/>
      <c r="D405" s="1"/>
      <c r="E405" s="1"/>
      <c r="F405" s="1"/>
      <c r="G405" s="1"/>
      <c r="H405" s="1"/>
      <c r="I405" s="1"/>
      <c r="J405" s="1"/>
      <c r="K405" s="1"/>
    </row>
    <row r="406" spans="1:11">
      <c r="A406" s="1"/>
      <c r="B406" s="1"/>
      <c r="C406" s="1"/>
      <c r="D406" s="1"/>
      <c r="E406" s="1"/>
      <c r="F406" s="1"/>
      <c r="G406" s="1"/>
      <c r="H406" s="1"/>
      <c r="I406" s="1"/>
      <c r="J406" s="1"/>
      <c r="K406" s="1"/>
    </row>
    <row r="407" spans="1:11">
      <c r="A407" s="1"/>
      <c r="B407" s="1"/>
      <c r="C407" s="1"/>
      <c r="D407" s="1"/>
      <c r="E407" s="1"/>
      <c r="F407" s="1"/>
      <c r="G407" s="1"/>
      <c r="H407" s="1"/>
      <c r="I407" s="1"/>
      <c r="J407" s="1"/>
      <c r="K407" s="1"/>
    </row>
    <row r="408" spans="1:11">
      <c r="A408" s="1"/>
      <c r="B408" s="1"/>
      <c r="C408" s="1"/>
      <c r="D408" s="1"/>
      <c r="E408" s="1"/>
      <c r="F408" s="1"/>
      <c r="G408" s="1"/>
      <c r="H408" s="1"/>
      <c r="I408" s="1"/>
      <c r="J408" s="1"/>
      <c r="K408" s="1"/>
    </row>
    <row r="409" spans="1:11">
      <c r="A409" s="1"/>
      <c r="B409" s="1"/>
      <c r="C409" s="1"/>
      <c r="D409" s="1"/>
      <c r="E409" s="1"/>
      <c r="F409" s="1"/>
      <c r="G409" s="1"/>
      <c r="H409" s="1"/>
      <c r="I409" s="1"/>
      <c r="J409" s="1"/>
      <c r="K409" s="1"/>
    </row>
    <row r="410" spans="1:11">
      <c r="A410" s="1"/>
      <c r="B410" s="1"/>
      <c r="C410" s="1"/>
      <c r="D410" s="1"/>
      <c r="E410" s="1"/>
      <c r="F410" s="1"/>
      <c r="G410" s="1"/>
      <c r="H410" s="1"/>
      <c r="I410" s="1"/>
      <c r="J410" s="1"/>
      <c r="K410" s="1"/>
    </row>
    <row r="411" spans="1:11">
      <c r="A411" s="1"/>
      <c r="B411" s="1"/>
      <c r="C411" s="1"/>
      <c r="D411" s="1"/>
      <c r="E411" s="1"/>
      <c r="F411" s="1"/>
      <c r="G411" s="1"/>
      <c r="H411" s="1"/>
      <c r="I411" s="1"/>
      <c r="J411" s="1"/>
      <c r="K411" s="1"/>
    </row>
    <row r="412" spans="1:11">
      <c r="A412" s="1"/>
      <c r="B412" s="1"/>
      <c r="C412" s="1"/>
      <c r="D412" s="1"/>
      <c r="E412" s="1"/>
      <c r="F412" s="1"/>
      <c r="G412" s="1"/>
      <c r="H412" s="1"/>
      <c r="I412" s="1"/>
      <c r="J412" s="1"/>
      <c r="K412" s="1"/>
    </row>
    <row r="413" spans="1:11">
      <c r="A413" s="1"/>
      <c r="B413" s="1"/>
      <c r="C413" s="1"/>
      <c r="D413" s="1"/>
      <c r="E413" s="1"/>
      <c r="F413" s="1"/>
      <c r="G413" s="1"/>
      <c r="H413" s="1"/>
      <c r="I413" s="1"/>
      <c r="J413" s="1"/>
      <c r="K413" s="1"/>
    </row>
    <row r="414" spans="1:11">
      <c r="A414" s="1"/>
      <c r="B414" s="1"/>
      <c r="C414" s="1"/>
      <c r="D414" s="1"/>
      <c r="E414" s="1"/>
      <c r="F414" s="1"/>
      <c r="G414" s="1"/>
      <c r="H414" s="1"/>
      <c r="I414" s="1"/>
      <c r="J414" s="1"/>
      <c r="K414" s="1"/>
    </row>
    <row r="415" spans="1:11">
      <c r="A415" s="1"/>
      <c r="B415" s="1"/>
      <c r="C415" s="1"/>
      <c r="D415" s="1"/>
      <c r="E415" s="1"/>
      <c r="F415" s="1"/>
      <c r="G415" s="1"/>
      <c r="H415" s="1"/>
      <c r="I415" s="1"/>
      <c r="J415" s="1"/>
      <c r="K415" s="1"/>
    </row>
    <row r="416" spans="1:11">
      <c r="A416" s="1"/>
      <c r="B416" s="1"/>
      <c r="C416" s="1"/>
      <c r="D416" s="1"/>
      <c r="E416" s="1"/>
      <c r="F416" s="1"/>
      <c r="G416" s="1"/>
      <c r="H416" s="1"/>
      <c r="I416" s="1"/>
      <c r="J416" s="1"/>
      <c r="K416" s="1"/>
    </row>
    <row r="417" spans="1:11">
      <c r="A417" s="1"/>
      <c r="B417" s="1"/>
      <c r="C417" s="1"/>
      <c r="D417" s="1"/>
      <c r="E417" s="1"/>
      <c r="F417" s="1"/>
      <c r="G417" s="1"/>
      <c r="H417" s="1"/>
      <c r="I417" s="1"/>
      <c r="J417" s="1"/>
      <c r="K417" s="1"/>
    </row>
    <row r="418" spans="1:11">
      <c r="A418" s="1"/>
      <c r="B418" s="1"/>
      <c r="C418" s="1"/>
      <c r="D418" s="1"/>
      <c r="E418" s="1"/>
      <c r="F418" s="1"/>
      <c r="G418" s="1"/>
      <c r="H418" s="1"/>
      <c r="I418" s="1"/>
      <c r="J418" s="1"/>
      <c r="K418" s="1"/>
    </row>
    <row r="419" spans="1:11">
      <c r="A419" s="1"/>
      <c r="B419" s="1"/>
      <c r="C419" s="1"/>
      <c r="D419" s="1"/>
      <c r="E419" s="1"/>
      <c r="F419" s="1"/>
      <c r="G419" s="1"/>
      <c r="H419" s="1"/>
      <c r="I419" s="1"/>
      <c r="J419" s="1"/>
      <c r="K419" s="1"/>
    </row>
    <row r="420" spans="1:11">
      <c r="A420" s="1"/>
      <c r="B420" s="1"/>
      <c r="C420" s="1"/>
      <c r="D420" s="1"/>
      <c r="E420" s="1"/>
      <c r="F420" s="1"/>
      <c r="G420" s="1"/>
      <c r="H420" s="1"/>
      <c r="I420" s="1"/>
      <c r="J420" s="1"/>
      <c r="K420" s="1"/>
    </row>
    <row r="421" spans="1:11">
      <c r="A421" s="1"/>
      <c r="B421" s="1"/>
      <c r="C421" s="1"/>
      <c r="D421" s="1"/>
      <c r="E421" s="1"/>
      <c r="F421" s="1"/>
      <c r="G421" s="1"/>
      <c r="H421" s="1"/>
      <c r="I421" s="1"/>
      <c r="J421" s="1"/>
      <c r="K421" s="1"/>
    </row>
    <row r="422" spans="1:11">
      <c r="A422" s="1"/>
      <c r="B422" s="1"/>
      <c r="C422" s="1"/>
      <c r="D422" s="1"/>
      <c r="E422" s="1"/>
      <c r="F422" s="1"/>
      <c r="G422" s="1"/>
      <c r="H422" s="1"/>
      <c r="I422" s="1"/>
      <c r="J422" s="1"/>
      <c r="K422" s="1"/>
    </row>
    <row r="423" spans="1:11">
      <c r="A423" s="1"/>
      <c r="B423" s="1"/>
      <c r="C423" s="1"/>
      <c r="D423" s="1"/>
      <c r="E423" s="1"/>
      <c r="F423" s="1"/>
      <c r="G423" s="1"/>
      <c r="H423" s="1"/>
      <c r="I423" s="1"/>
      <c r="J423" s="1"/>
      <c r="K423" s="1"/>
    </row>
    <row r="424" spans="1:11">
      <c r="A424" s="1"/>
      <c r="B424" s="1"/>
      <c r="C424" s="1"/>
      <c r="D424" s="1"/>
      <c r="E424" s="1"/>
      <c r="F424" s="1"/>
      <c r="G424" s="1"/>
      <c r="H424" s="1"/>
      <c r="I424" s="1"/>
      <c r="J424" s="1"/>
      <c r="K424" s="1"/>
    </row>
    <row r="425" spans="1:11">
      <c r="A425" s="1"/>
      <c r="B425" s="1"/>
      <c r="C425" s="1"/>
      <c r="D425" s="1"/>
      <c r="E425" s="1"/>
      <c r="F425" s="1"/>
      <c r="G425" s="1"/>
      <c r="H425" s="1"/>
      <c r="I425" s="1"/>
      <c r="J425" s="1"/>
      <c r="K425" s="1"/>
    </row>
    <row r="426" spans="1:11">
      <c r="A426" s="1"/>
      <c r="B426" s="1"/>
      <c r="C426" s="1"/>
      <c r="D426" s="1"/>
      <c r="E426" s="1"/>
      <c r="F426" s="1"/>
      <c r="G426" s="1"/>
      <c r="H426" s="1"/>
      <c r="I426" s="1"/>
      <c r="J426" s="1"/>
      <c r="K426" s="1"/>
    </row>
    <row r="427" spans="1:11">
      <c r="A427" s="1"/>
      <c r="B427" s="1"/>
      <c r="C427" s="1"/>
      <c r="D427" s="1"/>
      <c r="E427" s="1"/>
      <c r="F427" s="1"/>
      <c r="G427" s="1"/>
      <c r="H427" s="1"/>
      <c r="I427" s="1"/>
      <c r="J427" s="1"/>
      <c r="K427" s="1"/>
    </row>
    <row r="428" spans="1:11">
      <c r="A428" s="1"/>
      <c r="B428" s="1"/>
      <c r="C428" s="1"/>
      <c r="D428" s="1"/>
      <c r="E428" s="1"/>
      <c r="F428" s="1"/>
      <c r="G428" s="1"/>
      <c r="H428" s="1"/>
      <c r="I428" s="1"/>
      <c r="J428" s="1"/>
      <c r="K428" s="1"/>
    </row>
    <row r="429" spans="1:11">
      <c r="A429" s="1"/>
      <c r="B429" s="1"/>
      <c r="C429" s="1"/>
      <c r="D429" s="1"/>
      <c r="E429" s="1"/>
      <c r="F429" s="1"/>
      <c r="G429" s="1"/>
      <c r="H429" s="1"/>
      <c r="I429" s="1"/>
      <c r="J429" s="1"/>
      <c r="K429" s="1"/>
    </row>
    <row r="430" spans="1:11">
      <c r="A430" s="1"/>
      <c r="B430" s="1"/>
      <c r="C430" s="1"/>
      <c r="D430" s="1"/>
      <c r="E430" s="1"/>
      <c r="F430" s="1"/>
      <c r="G430" s="1"/>
      <c r="H430" s="1"/>
      <c r="I430" s="1"/>
      <c r="J430" s="1"/>
      <c r="K430" s="1"/>
    </row>
    <row r="431" spans="1:11">
      <c r="A431" s="1"/>
      <c r="B431" s="1"/>
      <c r="C431" s="1"/>
      <c r="D431" s="1"/>
      <c r="E431" s="1"/>
      <c r="F431" s="1"/>
      <c r="G431" s="1"/>
      <c r="H431" s="1"/>
      <c r="I431" s="1"/>
      <c r="J431" s="1"/>
      <c r="K431" s="1"/>
    </row>
    <row r="432" spans="1:11">
      <c r="A432" s="1"/>
      <c r="B432" s="1"/>
      <c r="C432" s="1"/>
      <c r="D432" s="1"/>
      <c r="E432" s="1"/>
      <c r="F432" s="1"/>
      <c r="G432" s="1"/>
      <c r="H432" s="1"/>
      <c r="I432" s="1"/>
      <c r="J432" s="1"/>
      <c r="K432" s="1"/>
    </row>
    <row r="433" spans="1:11">
      <c r="A433" s="1"/>
      <c r="B433" s="1"/>
      <c r="C433" s="1"/>
      <c r="D433" s="1"/>
      <c r="E433" s="1"/>
      <c r="F433" s="1"/>
      <c r="G433" s="1"/>
      <c r="H433" s="1"/>
      <c r="I433" s="1"/>
      <c r="J433" s="1"/>
      <c r="K433" s="1"/>
    </row>
    <row r="434" spans="1:11">
      <c r="A434" s="1"/>
      <c r="B434" s="1"/>
      <c r="C434" s="1"/>
      <c r="D434" s="1"/>
      <c r="E434" s="1"/>
      <c r="F434" s="1"/>
      <c r="G434" s="1"/>
      <c r="H434" s="1"/>
      <c r="I434" s="1"/>
      <c r="J434" s="1"/>
      <c r="K434" s="1"/>
    </row>
    <row r="435" spans="1:11">
      <c r="A435" s="1"/>
      <c r="B435" s="1"/>
      <c r="C435" s="1"/>
      <c r="D435" s="1"/>
      <c r="E435" s="1"/>
      <c r="F435" s="1"/>
      <c r="G435" s="1"/>
      <c r="H435" s="1"/>
      <c r="I435" s="1"/>
      <c r="J435" s="1"/>
      <c r="K435" s="1"/>
    </row>
    <row r="436" spans="1:11">
      <c r="A436" s="1"/>
      <c r="B436" s="1"/>
      <c r="C436" s="1"/>
      <c r="D436" s="1"/>
      <c r="E436" s="1"/>
      <c r="F436" s="1"/>
      <c r="G436" s="1"/>
      <c r="H436" s="1"/>
      <c r="I436" s="1"/>
      <c r="J436" s="1"/>
      <c r="K436" s="1"/>
    </row>
    <row r="437" spans="1:11">
      <c r="A437" s="1"/>
      <c r="B437" s="1"/>
      <c r="C437" s="1"/>
      <c r="D437" s="1"/>
      <c r="E437" s="1"/>
      <c r="F437" s="1"/>
      <c r="G437" s="1"/>
      <c r="H437" s="1"/>
      <c r="I437" s="1"/>
      <c r="J437" s="1"/>
      <c r="K437" s="1"/>
    </row>
    <row r="438" spans="1:11">
      <c r="A438" s="1"/>
      <c r="B438" s="1"/>
      <c r="C438" s="1"/>
      <c r="D438" s="1"/>
      <c r="E438" s="1"/>
      <c r="F438" s="1"/>
      <c r="G438" s="1"/>
      <c r="H438" s="1"/>
      <c r="I438" s="1"/>
      <c r="J438" s="1"/>
      <c r="K438" s="1"/>
    </row>
    <row r="439" spans="1:11">
      <c r="A439" s="1"/>
      <c r="B439" s="1"/>
      <c r="C439" s="1"/>
      <c r="D439" s="1"/>
      <c r="E439" s="1"/>
      <c r="F439" s="1"/>
      <c r="G439" s="1"/>
      <c r="H439" s="1"/>
      <c r="I439" s="1"/>
      <c r="J439" s="1"/>
      <c r="K439" s="1"/>
    </row>
    <row r="440" spans="1:11">
      <c r="A440" s="1"/>
      <c r="B440" s="1"/>
      <c r="C440" s="1"/>
      <c r="D440" s="1"/>
      <c r="E440" s="1"/>
      <c r="F440" s="1"/>
      <c r="G440" s="1"/>
      <c r="H440" s="1"/>
      <c r="I440" s="1"/>
      <c r="J440" s="1"/>
      <c r="K440" s="1"/>
    </row>
    <row r="441" spans="1:11">
      <c r="A441" s="1"/>
      <c r="B441" s="1"/>
      <c r="C441" s="1"/>
      <c r="D441" s="1"/>
      <c r="E441" s="1"/>
      <c r="F441" s="1"/>
      <c r="G441" s="1"/>
      <c r="H441" s="1"/>
      <c r="I441" s="1"/>
      <c r="J441" s="1"/>
      <c r="K441" s="1"/>
    </row>
    <row r="442" spans="1:11">
      <c r="A442" s="1"/>
      <c r="B442" s="1"/>
      <c r="C442" s="1"/>
      <c r="D442" s="1"/>
      <c r="E442" s="1"/>
      <c r="F442" s="1"/>
      <c r="G442" s="1"/>
      <c r="H442" s="1"/>
      <c r="I442" s="1"/>
      <c r="J442" s="1"/>
      <c r="K442" s="1"/>
    </row>
    <row r="443" spans="1:11">
      <c r="A443" s="1"/>
      <c r="B443" s="1"/>
      <c r="C443" s="1"/>
      <c r="D443" s="1"/>
      <c r="E443" s="1"/>
      <c r="F443" s="1"/>
      <c r="G443" s="1"/>
      <c r="H443" s="1"/>
      <c r="I443" s="1"/>
      <c r="J443" s="1"/>
      <c r="K443" s="1"/>
    </row>
    <row r="444" spans="1:11">
      <c r="A444" s="1"/>
      <c r="B444" s="1"/>
      <c r="C444" s="1"/>
      <c r="D444" s="1"/>
      <c r="E444" s="1"/>
      <c r="F444" s="1"/>
      <c r="G444" s="1"/>
      <c r="H444" s="1"/>
      <c r="I444" s="1"/>
      <c r="J444" s="1"/>
      <c r="K444" s="1"/>
    </row>
    <row r="445" spans="1:11">
      <c r="A445" s="1"/>
      <c r="B445" s="1"/>
      <c r="C445" s="1"/>
      <c r="D445" s="1"/>
      <c r="E445" s="1"/>
      <c r="F445" s="1"/>
      <c r="G445" s="1"/>
      <c r="H445" s="1"/>
      <c r="I445" s="1"/>
      <c r="J445" s="1"/>
      <c r="K445" s="1"/>
    </row>
    <row r="446" spans="1:11">
      <c r="A446" s="1"/>
      <c r="B446" s="1"/>
      <c r="C446" s="1"/>
      <c r="D446" s="1"/>
      <c r="E446" s="1"/>
      <c r="F446" s="1"/>
      <c r="G446" s="1"/>
      <c r="H446" s="1"/>
      <c r="I446" s="1"/>
      <c r="J446" s="1"/>
      <c r="K446" s="1"/>
    </row>
    <row r="447" spans="1:11">
      <c r="A447" s="1"/>
      <c r="B447" s="1"/>
      <c r="C447" s="1"/>
      <c r="D447" s="1"/>
      <c r="E447" s="1"/>
      <c r="F447" s="1"/>
      <c r="G447" s="1"/>
      <c r="H447" s="1"/>
      <c r="I447" s="1"/>
      <c r="J447" s="1"/>
      <c r="K447" s="1"/>
    </row>
    <row r="448" spans="1:11">
      <c r="A448" s="1"/>
      <c r="B448" s="1"/>
      <c r="C448" s="1"/>
      <c r="D448" s="1"/>
      <c r="E448" s="1"/>
      <c r="F448" s="1"/>
      <c r="G448" s="1"/>
      <c r="H448" s="1"/>
      <c r="I448" s="1"/>
      <c r="J448" s="1"/>
      <c r="K448" s="1"/>
    </row>
    <row r="449" spans="1:11">
      <c r="A449" s="1"/>
      <c r="B449" s="1"/>
      <c r="C449" s="1"/>
      <c r="D449" s="1"/>
      <c r="E449" s="1"/>
      <c r="F449" s="1"/>
      <c r="G449" s="1"/>
      <c r="H449" s="1"/>
      <c r="I449" s="1"/>
      <c r="J449" s="1"/>
      <c r="K449" s="1"/>
    </row>
    <row r="450" spans="1:11">
      <c r="A450" s="1"/>
      <c r="B450" s="1"/>
      <c r="C450" s="1"/>
      <c r="D450" s="1"/>
      <c r="E450" s="1"/>
      <c r="F450" s="1"/>
      <c r="G450" s="1"/>
      <c r="H450" s="1"/>
      <c r="I450" s="1"/>
      <c r="J450" s="1"/>
      <c r="K450" s="1"/>
    </row>
    <row r="451" spans="1:11">
      <c r="A451" s="1"/>
      <c r="B451" s="1"/>
      <c r="C451" s="1"/>
      <c r="D451" s="1"/>
      <c r="E451" s="1"/>
      <c r="F451" s="1"/>
      <c r="G451" s="1"/>
      <c r="H451" s="1"/>
      <c r="I451" s="1"/>
      <c r="J451" s="1"/>
      <c r="K451" s="1"/>
    </row>
    <row r="452" spans="1:11">
      <c r="A452" s="1"/>
      <c r="B452" s="1"/>
      <c r="C452" s="1"/>
      <c r="D452" s="1"/>
      <c r="E452" s="1"/>
      <c r="F452" s="1"/>
      <c r="G452" s="1"/>
      <c r="H452" s="1"/>
      <c r="I452" s="1"/>
      <c r="J452" s="1"/>
      <c r="K452" s="1"/>
    </row>
    <row r="453" spans="1:11">
      <c r="A453" s="1"/>
      <c r="B453" s="1"/>
      <c r="C453" s="1"/>
      <c r="D453" s="1"/>
      <c r="E453" s="1"/>
      <c r="F453" s="1"/>
      <c r="G453" s="1"/>
      <c r="H453" s="1"/>
      <c r="I453" s="1"/>
      <c r="J453" s="1"/>
      <c r="K453" s="1"/>
    </row>
    <row r="454" spans="1:11">
      <c r="A454" s="1"/>
      <c r="B454" s="1"/>
      <c r="C454" s="1"/>
      <c r="D454" s="1"/>
      <c r="E454" s="1"/>
      <c r="F454" s="1"/>
      <c r="G454" s="1"/>
      <c r="H454" s="1"/>
      <c r="I454" s="1"/>
      <c r="J454" s="1"/>
      <c r="K454" s="1"/>
    </row>
    <row r="455" spans="1:11">
      <c r="A455" s="1"/>
      <c r="B455" s="1"/>
      <c r="C455" s="1"/>
      <c r="D455" s="1"/>
      <c r="E455" s="1"/>
      <c r="F455" s="1"/>
      <c r="G455" s="1"/>
      <c r="H455" s="1"/>
      <c r="I455" s="1"/>
      <c r="J455" s="1"/>
      <c r="K455" s="1"/>
    </row>
    <row r="456" spans="1:11">
      <c r="A456" s="1"/>
      <c r="B456" s="1"/>
      <c r="C456" s="1"/>
      <c r="D456" s="1"/>
      <c r="E456" s="1"/>
      <c r="F456" s="1"/>
      <c r="G456" s="1"/>
      <c r="H456" s="1"/>
      <c r="I456" s="1"/>
      <c r="J456" s="1"/>
      <c r="K456" s="1"/>
    </row>
    <row r="457" spans="1:11">
      <c r="A457" s="1"/>
      <c r="B457" s="1"/>
      <c r="C457" s="1"/>
      <c r="D457" s="1"/>
      <c r="E457" s="1"/>
      <c r="F457" s="1"/>
      <c r="G457" s="1"/>
      <c r="H457" s="1"/>
      <c r="I457" s="1"/>
      <c r="J457" s="1"/>
      <c r="K457" s="1"/>
    </row>
    <row r="458" spans="1:11">
      <c r="A458" s="1"/>
      <c r="B458" s="1"/>
      <c r="C458" s="1"/>
      <c r="D458" s="1"/>
      <c r="E458" s="1"/>
      <c r="F458" s="1"/>
      <c r="G458" s="1"/>
      <c r="H458" s="1"/>
      <c r="I458" s="1"/>
      <c r="J458" s="1"/>
      <c r="K458" s="1"/>
    </row>
    <row r="459" spans="1:11">
      <c r="A459" s="1"/>
      <c r="B459" s="1"/>
      <c r="C459" s="1"/>
      <c r="D459" s="1"/>
      <c r="E459" s="1"/>
      <c r="F459" s="1"/>
      <c r="G459" s="1"/>
      <c r="H459" s="1"/>
      <c r="I459" s="1"/>
      <c r="J459" s="1"/>
      <c r="K459" s="1"/>
    </row>
    <row r="460" spans="1:11">
      <c r="A460" s="1"/>
      <c r="B460" s="1"/>
      <c r="C460" s="1"/>
      <c r="D460" s="1"/>
      <c r="E460" s="1"/>
      <c r="F460" s="1"/>
      <c r="G460" s="1"/>
      <c r="H460" s="1"/>
      <c r="I460" s="1"/>
      <c r="J460" s="1"/>
      <c r="K460" s="1"/>
    </row>
    <row r="461" spans="1:11">
      <c r="A461" s="1"/>
      <c r="B461" s="1"/>
      <c r="C461" s="1"/>
      <c r="D461" s="1"/>
      <c r="E461" s="1"/>
      <c r="F461" s="1"/>
      <c r="G461" s="1"/>
      <c r="H461" s="1"/>
      <c r="I461" s="1"/>
      <c r="J461" s="1"/>
      <c r="K461" s="1"/>
    </row>
    <row r="462" spans="1:11">
      <c r="A462" s="1"/>
      <c r="B462" s="1"/>
      <c r="C462" s="1"/>
      <c r="D462" s="1"/>
      <c r="E462" s="1"/>
      <c r="F462" s="1"/>
      <c r="G462" s="1"/>
      <c r="H462" s="1"/>
      <c r="I462" s="1"/>
      <c r="J462" s="1"/>
      <c r="K462" s="1"/>
    </row>
    <row r="463" spans="1:11">
      <c r="A463" s="1"/>
      <c r="B463" s="1"/>
      <c r="C463" s="1"/>
      <c r="D463" s="1"/>
      <c r="E463" s="1"/>
      <c r="F463" s="1"/>
      <c r="G463" s="1"/>
      <c r="H463" s="1"/>
      <c r="I463" s="1"/>
      <c r="J463" s="1"/>
      <c r="K463" s="1"/>
    </row>
    <row r="464" spans="1:11">
      <c r="A464" s="1"/>
      <c r="B464" s="1"/>
      <c r="C464" s="1"/>
      <c r="D464" s="1"/>
      <c r="E464" s="1"/>
      <c r="F464" s="1"/>
      <c r="G464" s="1"/>
      <c r="H464" s="1"/>
      <c r="I464" s="1"/>
      <c r="J464" s="1"/>
      <c r="K464" s="1"/>
    </row>
    <row r="465" spans="1:11">
      <c r="A465" s="1"/>
      <c r="B465" s="1"/>
      <c r="C465" s="1"/>
      <c r="D465" s="1"/>
      <c r="E465" s="1"/>
      <c r="F465" s="1"/>
      <c r="G465" s="1"/>
      <c r="H465" s="1"/>
      <c r="I465" s="1"/>
      <c r="J465" s="1"/>
      <c r="K465" s="1"/>
    </row>
    <row r="466" spans="1:11">
      <c r="A466" s="1"/>
      <c r="B466" s="1"/>
      <c r="C466" s="1"/>
      <c r="D466" s="1"/>
      <c r="E466" s="1"/>
      <c r="F466" s="1"/>
      <c r="G466" s="1"/>
      <c r="H466" s="1"/>
      <c r="I466" s="1"/>
      <c r="J466" s="1"/>
      <c r="K466" s="1"/>
    </row>
    <row r="467" spans="1:11">
      <c r="A467" s="1"/>
      <c r="B467" s="1"/>
      <c r="C467" s="1"/>
      <c r="D467" s="1"/>
      <c r="E467" s="1"/>
      <c r="F467" s="1"/>
      <c r="G467" s="1"/>
      <c r="H467" s="1"/>
      <c r="I467" s="1"/>
      <c r="J467" s="1"/>
      <c r="K467" s="1"/>
    </row>
    <row r="468" spans="1:11">
      <c r="A468" s="1"/>
      <c r="B468" s="1"/>
      <c r="C468" s="1"/>
      <c r="D468" s="1"/>
      <c r="E468" s="1"/>
      <c r="F468" s="1"/>
      <c r="G468" s="1"/>
      <c r="H468" s="1"/>
      <c r="I468" s="1"/>
      <c r="J468" s="1"/>
      <c r="K468" s="1"/>
    </row>
    <row r="469" spans="1:11">
      <c r="A469" s="1"/>
      <c r="B469" s="1"/>
      <c r="C469" s="1"/>
      <c r="D469" s="1"/>
      <c r="E469" s="1"/>
      <c r="F469" s="1"/>
      <c r="G469" s="1"/>
      <c r="H469" s="1"/>
      <c r="I469" s="1"/>
      <c r="J469" s="1"/>
      <c r="K469" s="1"/>
    </row>
    <row r="470" spans="1:11">
      <c r="A470" s="1"/>
      <c r="B470" s="1"/>
      <c r="C470" s="1"/>
      <c r="D470" s="1"/>
      <c r="E470" s="1"/>
      <c r="F470" s="1"/>
      <c r="G470" s="1"/>
      <c r="H470" s="1"/>
      <c r="I470" s="1"/>
      <c r="J470" s="1"/>
      <c r="K470" s="1"/>
    </row>
    <row r="471" spans="1:11">
      <c r="A471" s="1"/>
      <c r="B471" s="1"/>
      <c r="C471" s="1"/>
      <c r="D471" s="1"/>
      <c r="E471" s="1"/>
      <c r="F471" s="1"/>
      <c r="G471" s="1"/>
      <c r="H471" s="1"/>
      <c r="I471" s="1"/>
      <c r="J471" s="1"/>
      <c r="K471" s="1"/>
    </row>
    <row r="472" spans="1:11">
      <c r="A472" s="1"/>
      <c r="B472" s="1"/>
      <c r="C472" s="1"/>
      <c r="D472" s="1"/>
      <c r="E472" s="1"/>
      <c r="F472" s="1"/>
      <c r="G472" s="1"/>
      <c r="H472" s="1"/>
      <c r="I472" s="1"/>
      <c r="J472" s="1"/>
      <c r="K472" s="1"/>
    </row>
    <row r="473" spans="1:11">
      <c r="A473" s="1"/>
      <c r="B473" s="1"/>
      <c r="C473" s="1"/>
      <c r="D473" s="1"/>
      <c r="E473" s="1"/>
      <c r="F473" s="1"/>
      <c r="G473" s="1"/>
      <c r="H473" s="1"/>
      <c r="I473" s="1"/>
      <c r="J473" s="1"/>
      <c r="K473" s="1"/>
    </row>
    <row r="474" spans="1:11">
      <c r="A474" s="1"/>
      <c r="B474" s="1"/>
      <c r="C474" s="1"/>
      <c r="D474" s="1"/>
      <c r="E474" s="1"/>
      <c r="F474" s="1"/>
      <c r="G474" s="1"/>
      <c r="H474" s="1"/>
      <c r="I474" s="1"/>
      <c r="J474" s="1"/>
      <c r="K474" s="1"/>
    </row>
    <row r="475" spans="1:11">
      <c r="A475" s="1"/>
      <c r="B475" s="1"/>
      <c r="C475" s="1"/>
      <c r="D475" s="1"/>
      <c r="E475" s="1"/>
      <c r="F475" s="1"/>
      <c r="G475" s="1"/>
      <c r="H475" s="1"/>
      <c r="I475" s="1"/>
      <c r="J475" s="1"/>
      <c r="K475" s="1"/>
    </row>
    <row r="476" spans="1:11">
      <c r="A476" s="1"/>
      <c r="B476" s="1"/>
      <c r="C476" s="1"/>
      <c r="D476" s="1"/>
      <c r="E476" s="1"/>
      <c r="F476" s="1"/>
      <c r="G476" s="1"/>
      <c r="H476" s="1"/>
      <c r="I476" s="1"/>
      <c r="J476" s="1"/>
      <c r="K476" s="1"/>
    </row>
    <row r="477" spans="1:11">
      <c r="A477" s="1"/>
      <c r="B477" s="1"/>
      <c r="C477" s="1"/>
      <c r="D477" s="1"/>
      <c r="E477" s="1"/>
      <c r="F477" s="1"/>
      <c r="G477" s="1"/>
      <c r="H477" s="1"/>
      <c r="I477" s="1"/>
      <c r="J477" s="1"/>
      <c r="K477" s="1"/>
    </row>
    <row r="478" spans="1:11">
      <c r="A478" s="1"/>
      <c r="B478" s="1"/>
      <c r="C478" s="1"/>
      <c r="D478" s="1"/>
      <c r="E478" s="1"/>
      <c r="F478" s="1"/>
      <c r="G478" s="1"/>
      <c r="H478" s="1"/>
      <c r="I478" s="1"/>
      <c r="J478" s="1"/>
      <c r="K478" s="1"/>
    </row>
    <row r="479" spans="1:11">
      <c r="A479" s="1"/>
      <c r="B479" s="1"/>
      <c r="C479" s="1"/>
      <c r="D479" s="1"/>
      <c r="E479" s="1"/>
      <c r="F479" s="1"/>
      <c r="G479" s="1"/>
      <c r="H479" s="1"/>
      <c r="I479" s="1"/>
      <c r="J479" s="1"/>
      <c r="K479" s="1"/>
    </row>
    <row r="480" spans="1:11">
      <c r="A480" s="1"/>
      <c r="B480" s="1"/>
      <c r="C480" s="1"/>
      <c r="D480" s="1"/>
      <c r="E480" s="1"/>
      <c r="F480" s="1"/>
      <c r="G480" s="1"/>
      <c r="H480" s="1"/>
      <c r="I480" s="1"/>
      <c r="J480" s="1"/>
      <c r="K480" s="1"/>
    </row>
    <row r="481" spans="1:11">
      <c r="A481" s="1"/>
      <c r="B481" s="1"/>
      <c r="C481" s="1"/>
      <c r="D481" s="1"/>
      <c r="E481" s="1"/>
      <c r="F481" s="1"/>
      <c r="G481" s="1"/>
      <c r="H481" s="1"/>
      <c r="I481" s="1"/>
      <c r="J481" s="1"/>
      <c r="K481" s="1"/>
    </row>
    <row r="482" spans="1:11">
      <c r="A482" s="1"/>
      <c r="B482" s="1"/>
      <c r="C482" s="1"/>
      <c r="D482" s="1"/>
      <c r="E482" s="1"/>
      <c r="F482" s="1"/>
      <c r="G482" s="1"/>
      <c r="H482" s="1"/>
      <c r="I482" s="1"/>
      <c r="J482" s="1"/>
      <c r="K482" s="1"/>
    </row>
    <row r="483" spans="1:11">
      <c r="A483" s="1"/>
      <c r="B483" s="1"/>
      <c r="C483" s="1"/>
      <c r="D483" s="1"/>
      <c r="E483" s="1"/>
      <c r="F483" s="1"/>
      <c r="G483" s="1"/>
      <c r="H483" s="1"/>
      <c r="I483" s="1"/>
      <c r="J483" s="1"/>
      <c r="K483" s="1"/>
    </row>
    <row r="484" spans="1:11">
      <c r="A484" s="1"/>
      <c r="B484" s="1"/>
      <c r="C484" s="1"/>
      <c r="D484" s="1"/>
      <c r="E484" s="1"/>
      <c r="F484" s="1"/>
      <c r="G484" s="1"/>
      <c r="H484" s="1"/>
      <c r="I484" s="1"/>
      <c r="J484" s="1"/>
      <c r="K484" s="1"/>
    </row>
    <row r="485" spans="1:11">
      <c r="A485" s="1"/>
      <c r="B485" s="1"/>
      <c r="C485" s="1"/>
      <c r="D485" s="1"/>
      <c r="E485" s="1"/>
      <c r="F485" s="1"/>
      <c r="G485" s="1"/>
      <c r="H485" s="1"/>
      <c r="I485" s="1"/>
      <c r="J485" s="1"/>
      <c r="K485" s="1"/>
    </row>
    <row r="486" spans="1:11">
      <c r="A486" s="1"/>
      <c r="B486" s="1"/>
      <c r="C486" s="1"/>
      <c r="D486" s="1"/>
      <c r="E486" s="1"/>
      <c r="F486" s="1"/>
      <c r="G486" s="1"/>
      <c r="H486" s="1"/>
      <c r="I486" s="1"/>
      <c r="J486" s="1"/>
      <c r="K486" s="1"/>
    </row>
    <row r="487" spans="1:11">
      <c r="A487" s="1"/>
      <c r="B487" s="1"/>
      <c r="C487" s="1"/>
      <c r="D487" s="1"/>
      <c r="E487" s="1"/>
      <c r="F487" s="1"/>
      <c r="G487" s="1"/>
      <c r="H487" s="1"/>
      <c r="I487" s="1"/>
      <c r="J487" s="1"/>
      <c r="K487" s="1"/>
    </row>
    <row r="488" spans="1:11">
      <c r="A488" s="1"/>
      <c r="B488" s="1"/>
      <c r="C488" s="1"/>
      <c r="D488" s="1"/>
      <c r="E488" s="1"/>
      <c r="F488" s="1"/>
      <c r="G488" s="1"/>
      <c r="H488" s="1"/>
      <c r="I488" s="1"/>
      <c r="J488" s="1"/>
      <c r="K488" s="1"/>
    </row>
    <row r="489" spans="1:11">
      <c r="A489" s="1"/>
      <c r="B489" s="1"/>
      <c r="C489" s="1"/>
      <c r="D489" s="1"/>
      <c r="E489" s="1"/>
      <c r="F489" s="1"/>
      <c r="G489" s="1"/>
      <c r="H489" s="1"/>
      <c r="I489" s="1"/>
      <c r="J489" s="1"/>
      <c r="K489" s="1"/>
    </row>
    <row r="490" spans="1:11">
      <c r="A490" s="1"/>
      <c r="B490" s="1"/>
      <c r="C490" s="1"/>
      <c r="D490" s="1"/>
      <c r="E490" s="1"/>
      <c r="F490" s="1"/>
      <c r="G490" s="1"/>
      <c r="H490" s="1"/>
      <c r="I490" s="1"/>
      <c r="J490" s="1"/>
      <c r="K490" s="1"/>
    </row>
    <row r="491" spans="1:11">
      <c r="A491" s="1"/>
      <c r="B491" s="1"/>
      <c r="C491" s="1"/>
      <c r="D491" s="1"/>
      <c r="E491" s="1"/>
      <c r="F491" s="1"/>
      <c r="G491" s="1"/>
      <c r="H491" s="1"/>
      <c r="I491" s="1"/>
      <c r="J491" s="1"/>
      <c r="K491" s="1"/>
    </row>
    <row r="492" spans="1:11">
      <c r="A492" s="1"/>
      <c r="B492" s="1"/>
      <c r="C492" s="1"/>
      <c r="D492" s="1"/>
      <c r="E492" s="1"/>
      <c r="F492" s="1"/>
      <c r="G492" s="1"/>
      <c r="H492" s="1"/>
      <c r="I492" s="1"/>
      <c r="J492" s="1"/>
      <c r="K492" s="1"/>
    </row>
    <row r="493" spans="1:11">
      <c r="A493" s="1"/>
      <c r="B493" s="1"/>
      <c r="C493" s="1"/>
      <c r="D493" s="1"/>
      <c r="E493" s="1"/>
      <c r="F493" s="1"/>
      <c r="G493" s="1"/>
      <c r="H493" s="1"/>
      <c r="I493" s="1"/>
      <c r="J493" s="1"/>
      <c r="K493" s="1"/>
    </row>
    <row r="494" spans="1:11">
      <c r="A494" s="1"/>
      <c r="B494" s="1"/>
      <c r="C494" s="1"/>
      <c r="D494" s="1"/>
      <c r="E494" s="1"/>
      <c r="F494" s="1"/>
      <c r="G494" s="1"/>
      <c r="H494" s="1"/>
      <c r="I494" s="1"/>
      <c r="J494" s="1"/>
      <c r="K494" s="1"/>
    </row>
    <row r="495" spans="1:11">
      <c r="A495" s="1"/>
      <c r="B495" s="1"/>
      <c r="C495" s="1"/>
      <c r="D495" s="1"/>
      <c r="E495" s="1"/>
      <c r="F495" s="1"/>
      <c r="G495" s="1"/>
      <c r="H495" s="1"/>
      <c r="I495" s="1"/>
      <c r="J495" s="1"/>
      <c r="K495" s="1"/>
    </row>
    <row r="496" spans="1:11">
      <c r="A496" s="1"/>
      <c r="B496" s="1"/>
      <c r="C496" s="1"/>
      <c r="D496" s="1"/>
      <c r="E496" s="1"/>
      <c r="F496" s="1"/>
      <c r="G496" s="1"/>
      <c r="H496" s="1"/>
      <c r="I496" s="1"/>
      <c r="J496" s="1"/>
      <c r="K496" s="1"/>
    </row>
    <row r="497" spans="1:11">
      <c r="A497" s="1"/>
      <c r="B497" s="1"/>
      <c r="C497" s="1"/>
      <c r="D497" s="1"/>
      <c r="E497" s="1"/>
      <c r="F497" s="1"/>
      <c r="G497" s="1"/>
      <c r="H497" s="1"/>
      <c r="I497" s="1"/>
      <c r="J497" s="1"/>
      <c r="K497" s="1"/>
    </row>
    <row r="498" spans="1:11">
      <c r="A498" s="1"/>
      <c r="B498" s="1"/>
      <c r="C498" s="1"/>
      <c r="D498" s="1"/>
      <c r="E498" s="1"/>
      <c r="F498" s="1"/>
      <c r="G498" s="1"/>
      <c r="H498" s="1"/>
      <c r="I498" s="1"/>
      <c r="J498" s="1"/>
      <c r="K498" s="1"/>
    </row>
    <row r="499" spans="1:11">
      <c r="A499" s="1"/>
      <c r="B499" s="1"/>
      <c r="C499" s="1"/>
      <c r="D499" s="1"/>
      <c r="E499" s="1"/>
      <c r="F499" s="1"/>
      <c r="G499" s="1"/>
      <c r="H499" s="1"/>
      <c r="I499" s="1"/>
      <c r="J499" s="1"/>
      <c r="K499" s="1"/>
    </row>
    <row r="500" spans="1:11">
      <c r="A500" s="1"/>
      <c r="B500" s="1"/>
      <c r="C500" s="1"/>
      <c r="D500" s="1"/>
      <c r="E500" s="1"/>
      <c r="F500" s="1"/>
      <c r="G500" s="1"/>
      <c r="H500" s="1"/>
      <c r="I500" s="1"/>
      <c r="J500" s="1"/>
      <c r="K500" s="1"/>
    </row>
    <row r="501" spans="1:11">
      <c r="A501" s="1"/>
      <c r="B501" s="1"/>
      <c r="C501" s="1"/>
      <c r="D501" s="1"/>
      <c r="E501" s="1"/>
      <c r="F501" s="1"/>
      <c r="G501" s="1"/>
      <c r="H501" s="1"/>
      <c r="I501" s="1"/>
      <c r="J501" s="1"/>
      <c r="K501" s="1"/>
    </row>
    <row r="502" spans="1:11">
      <c r="A502" s="1"/>
      <c r="B502" s="1"/>
      <c r="C502" s="1"/>
      <c r="D502" s="1"/>
      <c r="E502" s="1"/>
      <c r="F502" s="1"/>
      <c r="G502" s="1"/>
      <c r="H502" s="1"/>
      <c r="I502" s="1"/>
      <c r="J502" s="1"/>
      <c r="K502" s="1"/>
    </row>
    <row r="503" spans="1:11">
      <c r="A503" s="1"/>
      <c r="B503" s="1"/>
      <c r="C503" s="1"/>
      <c r="D503" s="1"/>
      <c r="E503" s="1"/>
      <c r="F503" s="1"/>
      <c r="G503" s="1"/>
      <c r="H503" s="1"/>
      <c r="I503" s="1"/>
      <c r="J503" s="1"/>
      <c r="K503" s="1"/>
    </row>
    <row r="504" spans="1:11">
      <c r="A504" s="1"/>
      <c r="B504" s="1"/>
      <c r="C504" s="1"/>
      <c r="D504" s="1"/>
      <c r="E504" s="1"/>
      <c r="F504" s="1"/>
      <c r="G504" s="1"/>
      <c r="H504" s="1"/>
      <c r="I504" s="1"/>
      <c r="J504" s="1"/>
      <c r="K504" s="1"/>
    </row>
    <row r="505" spans="1:11">
      <c r="A505" s="1"/>
      <c r="B505" s="1"/>
      <c r="C505" s="1"/>
      <c r="D505" s="1"/>
      <c r="E505" s="1"/>
      <c r="F505" s="1"/>
      <c r="G505" s="1"/>
      <c r="H505" s="1"/>
      <c r="I505" s="1"/>
      <c r="J505" s="1"/>
      <c r="K505" s="1"/>
    </row>
    <row r="506" spans="1:11">
      <c r="A506" s="1"/>
      <c r="B506" s="1"/>
      <c r="C506" s="1"/>
      <c r="D506" s="1"/>
      <c r="E506" s="1"/>
      <c r="F506" s="1"/>
      <c r="G506" s="1"/>
      <c r="H506" s="1"/>
      <c r="I506" s="1"/>
      <c r="J506" s="1"/>
      <c r="K506" s="1"/>
    </row>
    <row r="507" spans="1:11">
      <c r="A507" s="1"/>
      <c r="B507" s="1"/>
      <c r="C507" s="1"/>
      <c r="D507" s="1"/>
      <c r="E507" s="1"/>
      <c r="F507" s="1"/>
      <c r="G507" s="1"/>
      <c r="H507" s="1"/>
      <c r="I507" s="1"/>
      <c r="J507" s="1"/>
      <c r="K507" s="1"/>
    </row>
    <row r="508" spans="1:11">
      <c r="A508" s="1"/>
      <c r="B508" s="1"/>
      <c r="C508" s="1"/>
      <c r="D508" s="1"/>
      <c r="E508" s="1"/>
      <c r="F508" s="1"/>
      <c r="G508" s="1"/>
      <c r="H508" s="1"/>
      <c r="I508" s="1"/>
      <c r="J508" s="1"/>
      <c r="K508" s="1"/>
    </row>
    <row r="509" spans="1:11">
      <c r="A509" s="1"/>
      <c r="B509" s="1"/>
      <c r="C509" s="1"/>
      <c r="D509" s="1"/>
      <c r="E509" s="1"/>
      <c r="F509" s="1"/>
      <c r="G509" s="1"/>
      <c r="H509" s="1"/>
      <c r="I509" s="1"/>
      <c r="J509" s="1"/>
      <c r="K509" s="1"/>
    </row>
    <row r="510" spans="1:11">
      <c r="A510" s="1"/>
      <c r="B510" s="1"/>
      <c r="C510" s="1"/>
      <c r="D510" s="1"/>
      <c r="E510" s="1"/>
      <c r="F510" s="1"/>
      <c r="G510" s="1"/>
      <c r="H510" s="1"/>
      <c r="I510" s="1"/>
      <c r="J510" s="1"/>
      <c r="K510" s="1"/>
    </row>
    <row r="511" spans="1:11">
      <c r="A511" s="1"/>
      <c r="B511" s="1"/>
      <c r="C511" s="1"/>
      <c r="D511" s="1"/>
      <c r="E511" s="1"/>
      <c r="F511" s="1"/>
      <c r="G511" s="1"/>
      <c r="H511" s="1"/>
      <c r="I511" s="1"/>
      <c r="J511" s="1"/>
      <c r="K511" s="1"/>
    </row>
    <row r="512" spans="1:11">
      <c r="A512" s="1"/>
      <c r="B512" s="1"/>
      <c r="C512" s="1"/>
      <c r="D512" s="1"/>
      <c r="E512" s="1"/>
      <c r="F512" s="1"/>
      <c r="G512" s="1"/>
      <c r="H512" s="1"/>
      <c r="I512" s="1"/>
      <c r="J512" s="1"/>
      <c r="K512" s="1"/>
    </row>
    <row r="513" spans="1:11">
      <c r="A513" s="1"/>
      <c r="B513" s="1"/>
      <c r="C513" s="1"/>
      <c r="D513" s="1"/>
      <c r="E513" s="1"/>
      <c r="F513" s="1"/>
      <c r="G513" s="1"/>
      <c r="H513" s="1"/>
      <c r="I513" s="1"/>
      <c r="J513" s="1"/>
      <c r="K513" s="1"/>
    </row>
    <row r="514" spans="1:11">
      <c r="A514" s="1"/>
      <c r="B514" s="1"/>
      <c r="C514" s="1"/>
      <c r="D514" s="1"/>
      <c r="E514" s="1"/>
      <c r="F514" s="1"/>
      <c r="G514" s="1"/>
      <c r="H514" s="1"/>
      <c r="I514" s="1"/>
      <c r="J514" s="1"/>
      <c r="K514" s="1"/>
    </row>
    <row r="515" spans="1:11">
      <c r="A515" s="1"/>
      <c r="B515" s="1"/>
      <c r="C515" s="1"/>
      <c r="D515" s="1"/>
      <c r="E515" s="1"/>
      <c r="F515" s="1"/>
      <c r="G515" s="1"/>
      <c r="H515" s="1"/>
      <c r="I515" s="1"/>
      <c r="J515" s="1"/>
      <c r="K515" s="1"/>
    </row>
    <row r="516" spans="1:11">
      <c r="A516" s="1"/>
      <c r="B516" s="1"/>
      <c r="C516" s="1"/>
      <c r="D516" s="1"/>
      <c r="E516" s="1"/>
      <c r="F516" s="1"/>
      <c r="G516" s="1"/>
      <c r="H516" s="1"/>
      <c r="I516" s="1"/>
      <c r="J516" s="1"/>
      <c r="K516" s="1"/>
    </row>
    <row r="517" spans="1:11">
      <c r="A517" s="1"/>
      <c r="B517" s="1"/>
      <c r="C517" s="1"/>
      <c r="D517" s="1"/>
      <c r="E517" s="1"/>
      <c r="F517" s="1"/>
      <c r="G517" s="1"/>
      <c r="H517" s="1"/>
      <c r="I517" s="1"/>
      <c r="J517" s="1"/>
      <c r="K517" s="1"/>
    </row>
    <row r="518" spans="1:11">
      <c r="A518" s="1"/>
      <c r="B518" s="1"/>
      <c r="C518" s="1"/>
      <c r="D518" s="1"/>
      <c r="E518" s="1"/>
      <c r="F518" s="1"/>
      <c r="G518" s="1"/>
      <c r="H518" s="1"/>
      <c r="I518" s="1"/>
      <c r="J518" s="1"/>
      <c r="K518" s="1"/>
    </row>
    <row r="519" spans="1:11">
      <c r="A519" s="1"/>
      <c r="B519" s="1"/>
      <c r="C519" s="1"/>
      <c r="D519" s="1"/>
      <c r="E519" s="1"/>
      <c r="F519" s="1"/>
      <c r="G519" s="1"/>
      <c r="H519" s="1"/>
      <c r="I519" s="1"/>
      <c r="J519" s="1"/>
      <c r="K519" s="1"/>
    </row>
    <row r="520" spans="1:11">
      <c r="A520" s="1"/>
      <c r="B520" s="1"/>
      <c r="C520" s="1"/>
      <c r="D520" s="1"/>
      <c r="E520" s="1"/>
      <c r="F520" s="1"/>
      <c r="G520" s="1"/>
      <c r="H520" s="1"/>
      <c r="I520" s="1"/>
      <c r="J520" s="1"/>
      <c r="K520" s="1"/>
    </row>
    <row r="521" spans="1:11">
      <c r="A521" s="1"/>
      <c r="B521" s="1"/>
      <c r="C521" s="1"/>
      <c r="D521" s="1"/>
      <c r="E521" s="1"/>
      <c r="F521" s="1"/>
      <c r="G521" s="1"/>
      <c r="H521" s="1"/>
      <c r="I521" s="1"/>
      <c r="J521" s="1"/>
      <c r="K521" s="1"/>
    </row>
    <row r="522" spans="1:11">
      <c r="A522" s="1"/>
      <c r="B522" s="1"/>
      <c r="C522" s="1"/>
      <c r="D522" s="1"/>
      <c r="E522" s="1"/>
      <c r="F522" s="1"/>
      <c r="G522" s="1"/>
      <c r="H522" s="1"/>
      <c r="I522" s="1"/>
      <c r="J522" s="1"/>
      <c r="K522" s="1"/>
    </row>
    <row r="523" spans="1:11">
      <c r="A523" s="1"/>
      <c r="B523" s="1"/>
      <c r="C523" s="1"/>
      <c r="D523" s="1"/>
      <c r="E523" s="1"/>
      <c r="F523" s="1"/>
      <c r="G523" s="1"/>
      <c r="H523" s="1"/>
      <c r="I523" s="1"/>
      <c r="J523" s="1"/>
      <c r="K523" s="1"/>
    </row>
    <row r="524" spans="1:11">
      <c r="A524" s="1"/>
      <c r="B524" s="1"/>
      <c r="C524" s="1"/>
      <c r="D524" s="1"/>
      <c r="E524" s="1"/>
      <c r="F524" s="1"/>
      <c r="G524" s="1"/>
      <c r="H524" s="1"/>
      <c r="I524" s="1"/>
      <c r="J524" s="1"/>
      <c r="K524" s="1"/>
    </row>
    <row r="525" spans="1:11">
      <c r="A525" s="1"/>
      <c r="B525" s="1"/>
      <c r="C525" s="1"/>
      <c r="D525" s="1"/>
      <c r="E525" s="1"/>
      <c r="F525" s="1"/>
      <c r="G525" s="1"/>
      <c r="H525" s="1"/>
      <c r="I525" s="1"/>
      <c r="J525" s="1"/>
      <c r="K525" s="1"/>
    </row>
    <row r="526" spans="1:11">
      <c r="A526" s="1"/>
      <c r="B526" s="1"/>
      <c r="C526" s="1"/>
      <c r="D526" s="1"/>
      <c r="E526" s="1"/>
      <c r="F526" s="1"/>
      <c r="G526" s="1"/>
      <c r="H526" s="1"/>
      <c r="I526" s="1"/>
      <c r="J526" s="1"/>
      <c r="K526" s="1"/>
    </row>
    <row r="527" spans="1:11">
      <c r="A527" s="1"/>
      <c r="B527" s="1"/>
      <c r="C527" s="1"/>
      <c r="D527" s="1"/>
      <c r="E527" s="1"/>
      <c r="F527" s="1"/>
      <c r="G527" s="1"/>
      <c r="H527" s="1"/>
      <c r="I527" s="1"/>
      <c r="J527" s="1"/>
      <c r="K527" s="1"/>
    </row>
    <row r="528" spans="1:11">
      <c r="A528" s="1"/>
      <c r="B528" s="1"/>
      <c r="C528" s="1"/>
      <c r="D528" s="1"/>
      <c r="E528" s="1"/>
      <c r="F528" s="1"/>
      <c r="G528" s="1"/>
      <c r="H528" s="1"/>
      <c r="I528" s="1"/>
      <c r="J528" s="1"/>
      <c r="K528" s="1"/>
    </row>
    <row r="529" spans="1:11">
      <c r="A529" s="1"/>
      <c r="B529" s="1"/>
      <c r="C529" s="1"/>
      <c r="D529" s="1"/>
      <c r="E529" s="1"/>
      <c r="F529" s="1"/>
      <c r="G529" s="1"/>
      <c r="H529" s="1"/>
      <c r="I529" s="1"/>
      <c r="J529" s="1"/>
      <c r="K529" s="1"/>
    </row>
    <row r="530" spans="1:11">
      <c r="A530" s="1"/>
      <c r="B530" s="1"/>
      <c r="C530" s="1"/>
      <c r="D530" s="1"/>
      <c r="E530" s="1"/>
      <c r="F530" s="1"/>
      <c r="G530" s="1"/>
      <c r="H530" s="1"/>
      <c r="I530" s="1"/>
      <c r="J530" s="1"/>
      <c r="K530" s="1"/>
    </row>
    <row r="531" spans="1:11">
      <c r="A531" s="1"/>
      <c r="B531" s="1"/>
      <c r="C531" s="1"/>
      <c r="D531" s="1"/>
      <c r="E531" s="1"/>
      <c r="F531" s="1"/>
      <c r="G531" s="1"/>
      <c r="H531" s="1"/>
      <c r="I531" s="1"/>
      <c r="J531" s="1"/>
      <c r="K531" s="1"/>
    </row>
    <row r="532" spans="1:11">
      <c r="A532" s="1"/>
      <c r="B532" s="1"/>
      <c r="C532" s="1"/>
      <c r="D532" s="1"/>
      <c r="E532" s="1"/>
      <c r="F532" s="1"/>
      <c r="G532" s="1"/>
      <c r="H532" s="1"/>
      <c r="I532" s="1"/>
      <c r="J532" s="1"/>
      <c r="K532" s="1"/>
    </row>
    <row r="533" spans="1:11">
      <c r="A533" s="1"/>
      <c r="B533" s="1"/>
      <c r="C533" s="1"/>
      <c r="D533" s="1"/>
      <c r="E533" s="1"/>
      <c r="F533" s="1"/>
      <c r="G533" s="1"/>
      <c r="H533" s="1"/>
      <c r="I533" s="1"/>
      <c r="J533" s="1"/>
      <c r="K533" s="1"/>
    </row>
    <row r="534" spans="1:11">
      <c r="A534" s="1"/>
      <c r="B534" s="1"/>
      <c r="C534" s="1"/>
      <c r="D534" s="1"/>
      <c r="E534" s="1"/>
      <c r="F534" s="1"/>
      <c r="G534" s="1"/>
      <c r="H534" s="1"/>
      <c r="I534" s="1"/>
      <c r="J534" s="1"/>
      <c r="K534" s="1"/>
    </row>
    <row r="535" spans="1:11">
      <c r="A535" s="1"/>
      <c r="B535" s="1"/>
      <c r="C535" s="1"/>
      <c r="D535" s="1"/>
      <c r="E535" s="1"/>
      <c r="F535" s="1"/>
      <c r="G535" s="1"/>
      <c r="H535" s="1"/>
      <c r="I535" s="1"/>
      <c r="J535" s="1"/>
      <c r="K535" s="1"/>
    </row>
    <row r="536" spans="1:11">
      <c r="A536" s="1"/>
      <c r="B536" s="1"/>
      <c r="C536" s="1"/>
      <c r="D536" s="1"/>
      <c r="E536" s="1"/>
      <c r="F536" s="1"/>
      <c r="G536" s="1"/>
      <c r="H536" s="1"/>
      <c r="I536" s="1"/>
      <c r="J536" s="1"/>
      <c r="K536" s="1"/>
    </row>
    <row r="537" spans="1:11">
      <c r="A537" s="1"/>
      <c r="B537" s="1"/>
      <c r="C537" s="1"/>
      <c r="D537" s="1"/>
      <c r="E537" s="1"/>
      <c r="F537" s="1"/>
      <c r="G537" s="1"/>
      <c r="H537" s="1"/>
      <c r="I537" s="1"/>
      <c r="J537" s="1"/>
      <c r="K537" s="1"/>
    </row>
    <row r="538" spans="1:11">
      <c r="A538" s="1"/>
      <c r="B538" s="1"/>
      <c r="C538" s="1"/>
      <c r="D538" s="1"/>
      <c r="E538" s="1"/>
      <c r="F538" s="1"/>
      <c r="G538" s="1"/>
      <c r="H538" s="1"/>
      <c r="I538" s="1"/>
      <c r="J538" s="1"/>
      <c r="K538" s="1"/>
    </row>
    <row r="539" spans="1:11">
      <c r="A539" s="1"/>
      <c r="B539" s="1"/>
      <c r="C539" s="1"/>
      <c r="D539" s="1"/>
      <c r="E539" s="1"/>
      <c r="F539" s="1"/>
      <c r="G539" s="1"/>
      <c r="H539" s="1"/>
      <c r="I539" s="1"/>
      <c r="J539" s="1"/>
      <c r="K539" s="1"/>
    </row>
    <row r="540" spans="1:11">
      <c r="A540" s="1"/>
      <c r="B540" s="1"/>
      <c r="C540" s="1"/>
      <c r="D540" s="1"/>
      <c r="E540" s="1"/>
      <c r="F540" s="1"/>
      <c r="G540" s="1"/>
      <c r="H540" s="1"/>
      <c r="I540" s="1"/>
      <c r="J540" s="1"/>
      <c r="K540" s="1"/>
    </row>
    <row r="541" spans="1:11">
      <c r="A541" s="1"/>
      <c r="B541" s="1"/>
      <c r="C541" s="1"/>
      <c r="D541" s="1"/>
      <c r="E541" s="1"/>
      <c r="F541" s="1"/>
      <c r="G541" s="1"/>
      <c r="H541" s="1"/>
      <c r="I541" s="1"/>
      <c r="J541" s="1"/>
      <c r="K541" s="1"/>
    </row>
    <row r="542" spans="1:11">
      <c r="A542" s="1"/>
      <c r="B542" s="1"/>
      <c r="C542" s="1"/>
      <c r="D542" s="1"/>
      <c r="E542" s="1"/>
      <c r="F542" s="1"/>
      <c r="G542" s="1"/>
      <c r="H542" s="1"/>
      <c r="I542" s="1"/>
      <c r="J542" s="1"/>
      <c r="K542" s="1"/>
    </row>
    <row r="543" spans="1:11">
      <c r="A543" s="1"/>
      <c r="B543" s="1"/>
      <c r="C543" s="1"/>
      <c r="D543" s="1"/>
      <c r="E543" s="1"/>
      <c r="F543" s="1"/>
      <c r="G543" s="1"/>
      <c r="H543" s="1"/>
      <c r="I543" s="1"/>
      <c r="J543" s="1"/>
      <c r="K543" s="1"/>
    </row>
    <row r="544" spans="1:11">
      <c r="A544" s="1"/>
      <c r="B544" s="1"/>
      <c r="C544" s="1"/>
      <c r="D544" s="1"/>
      <c r="E544" s="1"/>
      <c r="F544" s="1"/>
      <c r="G544" s="1"/>
      <c r="H544" s="1"/>
      <c r="I544" s="1"/>
      <c r="J544" s="1"/>
      <c r="K544" s="1"/>
    </row>
    <row r="545" spans="1:11">
      <c r="A545" s="1"/>
      <c r="B545" s="1"/>
      <c r="C545" s="1"/>
      <c r="D545" s="1"/>
      <c r="E545" s="1"/>
      <c r="F545" s="1"/>
      <c r="G545" s="1"/>
      <c r="H545" s="1"/>
      <c r="I545" s="1"/>
      <c r="J545" s="1"/>
      <c r="K545" s="1"/>
    </row>
    <row r="546" spans="1:11">
      <c r="A546" s="1"/>
      <c r="B546" s="1"/>
      <c r="C546" s="1"/>
      <c r="D546" s="1"/>
      <c r="E546" s="1"/>
      <c r="F546" s="1"/>
      <c r="G546" s="1"/>
      <c r="H546" s="1"/>
      <c r="I546" s="1"/>
      <c r="J546" s="1"/>
      <c r="K546" s="1"/>
    </row>
    <row r="547" spans="1:11">
      <c r="A547" s="1"/>
      <c r="B547" s="1"/>
      <c r="C547" s="1"/>
      <c r="D547" s="1"/>
      <c r="E547" s="1"/>
      <c r="F547" s="1"/>
      <c r="G547" s="1"/>
      <c r="H547" s="1"/>
      <c r="I547" s="1"/>
      <c r="J547" s="1"/>
      <c r="K547" s="1"/>
    </row>
    <row r="548" spans="1:11">
      <c r="A548" s="1"/>
      <c r="B548" s="1"/>
      <c r="C548" s="1"/>
      <c r="D548" s="1"/>
      <c r="E548" s="1"/>
      <c r="F548" s="1"/>
      <c r="G548" s="1"/>
      <c r="H548" s="1"/>
      <c r="I548" s="1"/>
      <c r="J548" s="1"/>
      <c r="K548" s="1"/>
    </row>
    <row r="549" spans="1:11">
      <c r="A549" s="1"/>
      <c r="B549" s="1"/>
      <c r="C549" s="1"/>
      <c r="D549" s="1"/>
      <c r="E549" s="1"/>
      <c r="F549" s="1"/>
      <c r="G549" s="1"/>
      <c r="H549" s="1"/>
      <c r="I549" s="1"/>
      <c r="J549" s="1"/>
      <c r="K549" s="1"/>
    </row>
    <row r="550" spans="1:11">
      <c r="A550" s="1"/>
      <c r="B550" s="1"/>
      <c r="C550" s="1"/>
      <c r="D550" s="1"/>
      <c r="E550" s="1"/>
      <c r="F550" s="1"/>
      <c r="G550" s="1"/>
      <c r="H550" s="1"/>
      <c r="I550" s="1"/>
      <c r="J550" s="1"/>
      <c r="K550" s="1"/>
    </row>
    <row r="551" spans="1:11">
      <c r="A551" s="1"/>
      <c r="B551" s="1"/>
      <c r="C551" s="1"/>
      <c r="D551" s="1"/>
      <c r="E551" s="1"/>
      <c r="F551" s="1"/>
      <c r="G551" s="1"/>
      <c r="H551" s="1"/>
      <c r="I551" s="1"/>
      <c r="J551" s="1"/>
      <c r="K551" s="1"/>
    </row>
    <row r="552" spans="1:11">
      <c r="A552" s="1"/>
      <c r="B552" s="1"/>
      <c r="C552" s="1"/>
      <c r="D552" s="1"/>
      <c r="E552" s="1"/>
      <c r="F552" s="1"/>
      <c r="G552" s="1"/>
      <c r="H552" s="1"/>
      <c r="I552" s="1"/>
      <c r="J552" s="1"/>
      <c r="K552" s="1"/>
    </row>
    <row r="553" spans="1:11">
      <c r="A553" s="1"/>
      <c r="B553" s="1"/>
      <c r="C553" s="1"/>
      <c r="D553" s="1"/>
      <c r="E553" s="1"/>
      <c r="F553" s="1"/>
      <c r="G553" s="1"/>
      <c r="H553" s="1"/>
      <c r="I553" s="1"/>
      <c r="J553" s="1"/>
      <c r="K553" s="1"/>
    </row>
    <row r="554" spans="1:11">
      <c r="A554" s="1"/>
      <c r="B554" s="1"/>
      <c r="C554" s="1"/>
      <c r="D554" s="1"/>
      <c r="E554" s="1"/>
      <c r="F554" s="1"/>
      <c r="G554" s="1"/>
      <c r="H554" s="1"/>
      <c r="I554" s="1"/>
      <c r="J554" s="1"/>
      <c r="K554" s="1"/>
    </row>
    <row r="555" spans="1:11">
      <c r="A555" s="1"/>
      <c r="B555" s="1"/>
      <c r="C555" s="1"/>
      <c r="D555" s="1"/>
      <c r="E555" s="1"/>
      <c r="F555" s="1"/>
      <c r="G555" s="1"/>
      <c r="H555" s="1"/>
      <c r="I555" s="1"/>
      <c r="J555" s="1"/>
      <c r="K555" s="1"/>
    </row>
    <row r="556" spans="1:11">
      <c r="A556" s="1"/>
      <c r="B556" s="1"/>
      <c r="C556" s="1"/>
      <c r="D556" s="1"/>
      <c r="E556" s="1"/>
      <c r="F556" s="1"/>
      <c r="G556" s="1"/>
      <c r="H556" s="1"/>
      <c r="I556" s="1"/>
      <c r="J556" s="1"/>
      <c r="K556" s="1"/>
    </row>
    <row r="557" spans="1:11">
      <c r="A557" s="1"/>
      <c r="B557" s="1"/>
      <c r="C557" s="1"/>
      <c r="D557" s="1"/>
      <c r="E557" s="1"/>
      <c r="F557" s="1"/>
      <c r="G557" s="1"/>
      <c r="H557" s="1"/>
      <c r="I557" s="1"/>
      <c r="J557" s="1"/>
      <c r="K557" s="1"/>
    </row>
    <row r="558" spans="1:11">
      <c r="A558" s="1"/>
      <c r="B558" s="1"/>
      <c r="C558" s="1"/>
      <c r="D558" s="1"/>
      <c r="E558" s="1"/>
      <c r="F558" s="1"/>
      <c r="G558" s="1"/>
      <c r="H558" s="1"/>
      <c r="I558" s="1"/>
      <c r="J558" s="1"/>
      <c r="K558" s="1"/>
    </row>
    <row r="559" spans="1:11">
      <c r="A559" s="1"/>
      <c r="B559" s="1"/>
      <c r="C559" s="1"/>
      <c r="D559" s="1"/>
      <c r="E559" s="1"/>
      <c r="F559" s="1"/>
      <c r="G559" s="1"/>
      <c r="H559" s="1"/>
      <c r="I559" s="1"/>
      <c r="J559" s="1"/>
      <c r="K559" s="1"/>
    </row>
    <row r="560" spans="1:11">
      <c r="A560" s="1"/>
      <c r="B560" s="1"/>
      <c r="C560" s="1"/>
      <c r="D560" s="1"/>
      <c r="E560" s="1"/>
      <c r="F560" s="1"/>
      <c r="G560" s="1"/>
      <c r="H560" s="1"/>
      <c r="I560" s="1"/>
      <c r="J560" s="1"/>
      <c r="K560" s="1"/>
    </row>
    <row r="561" spans="1:11">
      <c r="A561" s="1"/>
      <c r="B561" s="1"/>
      <c r="C561" s="1"/>
      <c r="D561" s="1"/>
      <c r="E561" s="1"/>
      <c r="F561" s="1"/>
      <c r="G561" s="1"/>
      <c r="H561" s="1"/>
      <c r="I561" s="1"/>
      <c r="J561" s="1"/>
      <c r="K561" s="1"/>
    </row>
    <row r="562" spans="1:11">
      <c r="A562" s="1"/>
      <c r="B562" s="1"/>
      <c r="C562" s="1"/>
      <c r="D562" s="1"/>
      <c r="E562" s="1"/>
      <c r="F562" s="1"/>
      <c r="G562" s="1"/>
      <c r="H562" s="1"/>
      <c r="I562" s="1"/>
      <c r="J562" s="1"/>
      <c r="K562" s="1"/>
    </row>
    <row r="563" spans="1:11">
      <c r="A563" s="1"/>
      <c r="B563" s="1"/>
      <c r="C563" s="1"/>
      <c r="D563" s="1"/>
      <c r="E563" s="1"/>
      <c r="F563" s="1"/>
      <c r="G563" s="1"/>
      <c r="H563" s="1"/>
      <c r="I563" s="1"/>
      <c r="J563" s="1"/>
      <c r="K563" s="1"/>
    </row>
    <row r="564" spans="1:11">
      <c r="A564" s="1"/>
      <c r="B564" s="1"/>
      <c r="C564" s="1"/>
      <c r="D564" s="1"/>
      <c r="E564" s="1"/>
      <c r="F564" s="1"/>
      <c r="G564" s="1"/>
      <c r="H564" s="1"/>
      <c r="I564" s="1"/>
      <c r="J564" s="1"/>
      <c r="K564" s="1"/>
    </row>
    <row r="565" spans="1:11">
      <c r="A565" s="1"/>
      <c r="B565" s="1"/>
      <c r="C565" s="1"/>
      <c r="D565" s="1"/>
      <c r="E565" s="1"/>
      <c r="F565" s="1"/>
      <c r="G565" s="1"/>
      <c r="H565" s="1"/>
      <c r="I565" s="1"/>
      <c r="J565" s="1"/>
      <c r="K565" s="1"/>
    </row>
    <row r="566" spans="1:11">
      <c r="A566" s="1"/>
      <c r="B566" s="1"/>
      <c r="C566" s="1"/>
      <c r="D566" s="1"/>
      <c r="E566" s="1"/>
      <c r="F566" s="1"/>
      <c r="G566" s="1"/>
      <c r="H566" s="1"/>
      <c r="I566" s="1"/>
      <c r="J566" s="1"/>
      <c r="K566" s="1"/>
    </row>
    <row r="567" spans="1:11">
      <c r="A567" s="1"/>
      <c r="B567" s="1"/>
      <c r="C567" s="1"/>
      <c r="D567" s="1"/>
      <c r="E567" s="1"/>
      <c r="F567" s="1"/>
      <c r="G567" s="1"/>
      <c r="H567" s="1"/>
      <c r="I567" s="1"/>
      <c r="J567" s="1"/>
      <c r="K567" s="1"/>
    </row>
    <row r="568" spans="1:11">
      <c r="A568" s="1"/>
      <c r="B568" s="1"/>
      <c r="C568" s="1"/>
      <c r="D568" s="1"/>
      <c r="E568" s="1"/>
      <c r="F568" s="1"/>
      <c r="G568" s="1"/>
      <c r="H568" s="1"/>
      <c r="I568" s="1"/>
      <c r="J568" s="1"/>
      <c r="K568" s="1"/>
    </row>
    <row r="569" spans="1:11">
      <c r="A569" s="1"/>
      <c r="B569" s="1"/>
      <c r="C569" s="1"/>
      <c r="D569" s="1"/>
      <c r="E569" s="1"/>
      <c r="F569" s="1"/>
      <c r="G569" s="1"/>
      <c r="H569" s="1"/>
      <c r="I569" s="1"/>
      <c r="J569" s="1"/>
      <c r="K569" s="1"/>
    </row>
    <row r="570" spans="1:11">
      <c r="A570" s="1"/>
      <c r="B570" s="1"/>
      <c r="C570" s="1"/>
      <c r="D570" s="1"/>
      <c r="E570" s="1"/>
      <c r="F570" s="1"/>
      <c r="G570" s="1"/>
      <c r="H570" s="1"/>
      <c r="I570" s="1"/>
      <c r="J570" s="1"/>
      <c r="K570" s="1"/>
    </row>
    <row r="571" spans="1:11">
      <c r="A571" s="1"/>
      <c r="B571" s="1"/>
      <c r="C571" s="1"/>
      <c r="D571" s="1"/>
      <c r="E571" s="1"/>
      <c r="F571" s="1"/>
      <c r="G571" s="1"/>
      <c r="H571" s="1"/>
      <c r="I571" s="1"/>
      <c r="J571" s="1"/>
      <c r="K571" s="1"/>
    </row>
    <row r="572" spans="1:11">
      <c r="A572" s="1"/>
      <c r="B572" s="1"/>
      <c r="C572" s="1"/>
      <c r="D572" s="1"/>
      <c r="E572" s="1"/>
      <c r="F572" s="1"/>
      <c r="G572" s="1"/>
      <c r="H572" s="1"/>
      <c r="I572" s="1"/>
      <c r="J572" s="1"/>
      <c r="K572" s="1"/>
    </row>
    <row r="573" spans="1:11">
      <c r="A573" s="1"/>
      <c r="B573" s="1"/>
      <c r="C573" s="1"/>
      <c r="D573" s="1"/>
      <c r="E573" s="1"/>
      <c r="F573" s="1"/>
      <c r="G573" s="1"/>
      <c r="H573" s="1"/>
      <c r="I573" s="1"/>
      <c r="J573" s="1"/>
      <c r="K573" s="1"/>
    </row>
    <row r="574" spans="1:11">
      <c r="A574" s="1"/>
      <c r="B574" s="1"/>
      <c r="C574" s="1"/>
      <c r="D574" s="1"/>
      <c r="E574" s="1"/>
      <c r="F574" s="1"/>
      <c r="G574" s="1"/>
      <c r="H574" s="1"/>
      <c r="I574" s="1"/>
      <c r="J574" s="1"/>
      <c r="K574" s="1"/>
    </row>
    <row r="575" spans="1:11">
      <c r="A575" s="1"/>
      <c r="B575" s="1"/>
      <c r="C575" s="1"/>
      <c r="D575" s="1"/>
      <c r="E575" s="1"/>
      <c r="F575" s="1"/>
      <c r="G575" s="1"/>
      <c r="H575" s="1"/>
      <c r="I575" s="1"/>
      <c r="J575" s="1"/>
      <c r="K575" s="1"/>
    </row>
    <row r="576" spans="1:11">
      <c r="A576" s="1"/>
      <c r="B576" s="1"/>
      <c r="C576" s="1"/>
      <c r="D576" s="1"/>
      <c r="E576" s="1"/>
      <c r="F576" s="1"/>
      <c r="G576" s="1"/>
      <c r="H576" s="1"/>
      <c r="I576" s="1"/>
      <c r="J576" s="1"/>
      <c r="K576" s="1"/>
    </row>
    <row r="577" spans="1:11">
      <c r="A577" s="1"/>
      <c r="B577" s="1"/>
      <c r="C577" s="1"/>
      <c r="D577" s="1"/>
      <c r="E577" s="1"/>
      <c r="F577" s="1"/>
      <c r="G577" s="1"/>
      <c r="H577" s="1"/>
      <c r="I577" s="1"/>
      <c r="J577" s="1"/>
      <c r="K577" s="1"/>
    </row>
    <row r="578" spans="1:11">
      <c r="A578" s="1"/>
      <c r="B578" s="1"/>
      <c r="C578" s="1"/>
      <c r="D578" s="1"/>
      <c r="E578" s="1"/>
      <c r="F578" s="1"/>
      <c r="G578" s="1"/>
      <c r="H578" s="1"/>
      <c r="I578" s="1"/>
      <c r="J578" s="1"/>
      <c r="K578" s="1"/>
    </row>
    <row r="579" spans="1:11">
      <c r="A579" s="1"/>
      <c r="B579" s="1"/>
      <c r="C579" s="1"/>
      <c r="D579" s="1"/>
      <c r="E579" s="1"/>
      <c r="F579" s="1"/>
      <c r="G579" s="1"/>
      <c r="H579" s="1"/>
      <c r="I579" s="1"/>
      <c r="J579" s="1"/>
      <c r="K579" s="1"/>
    </row>
    <row r="580" spans="1:11">
      <c r="A580" s="1"/>
      <c r="B580" s="1"/>
      <c r="C580" s="1"/>
      <c r="D580" s="1"/>
      <c r="E580" s="1"/>
      <c r="F580" s="1"/>
      <c r="G580" s="1"/>
      <c r="H580" s="1"/>
      <c r="I580" s="1"/>
      <c r="J580" s="1"/>
      <c r="K580" s="1"/>
    </row>
    <row r="581" spans="1:11">
      <c r="A581" s="1"/>
      <c r="B581" s="1"/>
      <c r="C581" s="1"/>
      <c r="D581" s="1"/>
      <c r="E581" s="1"/>
      <c r="F581" s="1"/>
      <c r="G581" s="1"/>
      <c r="H581" s="1"/>
      <c r="I581" s="1"/>
      <c r="J581" s="1"/>
      <c r="K581" s="1"/>
    </row>
    <row r="582" spans="1:11">
      <c r="A582" s="1"/>
      <c r="B582" s="1"/>
      <c r="C582" s="1"/>
      <c r="D582" s="1"/>
      <c r="E582" s="1"/>
      <c r="F582" s="1"/>
      <c r="G582" s="1"/>
      <c r="H582" s="1"/>
      <c r="I582" s="1"/>
      <c r="J582" s="1"/>
      <c r="K582" s="1"/>
    </row>
    <row r="583" spans="1:11">
      <c r="A583" s="1"/>
      <c r="B583" s="1"/>
      <c r="C583" s="1"/>
      <c r="D583" s="1"/>
      <c r="E583" s="1"/>
      <c r="F583" s="1"/>
      <c r="G583" s="1"/>
      <c r="H583" s="1"/>
      <c r="I583" s="1"/>
      <c r="J583" s="1"/>
      <c r="K583" s="1"/>
    </row>
    <row r="584" spans="1:11">
      <c r="A584" s="1"/>
      <c r="B584" s="1"/>
      <c r="C584" s="1"/>
      <c r="D584" s="1"/>
      <c r="E584" s="1"/>
      <c r="F584" s="1"/>
      <c r="G584" s="1"/>
      <c r="H584" s="1"/>
      <c r="I584" s="1"/>
      <c r="J584" s="1"/>
      <c r="K584" s="1"/>
    </row>
    <row r="585" spans="1:11">
      <c r="A585" s="1"/>
      <c r="B585" s="1"/>
      <c r="C585" s="1"/>
      <c r="D585" s="1"/>
      <c r="E585" s="1"/>
      <c r="F585" s="1"/>
      <c r="G585" s="1"/>
      <c r="H585" s="1"/>
      <c r="I585" s="1"/>
      <c r="J585" s="1"/>
      <c r="K585" s="1"/>
    </row>
    <row r="586" spans="1:11">
      <c r="A586" s="1"/>
      <c r="B586" s="1"/>
      <c r="C586" s="1"/>
      <c r="D586" s="1"/>
      <c r="E586" s="1"/>
      <c r="F586" s="1"/>
      <c r="G586" s="1"/>
      <c r="H586" s="1"/>
      <c r="I586" s="1"/>
      <c r="J586" s="1"/>
      <c r="K586" s="1"/>
    </row>
    <row r="587" spans="1:11">
      <c r="A587" s="1"/>
      <c r="B587" s="1"/>
      <c r="C587" s="1"/>
      <c r="D587" s="1"/>
      <c r="E587" s="1"/>
      <c r="F587" s="1"/>
      <c r="G587" s="1"/>
      <c r="H587" s="1"/>
      <c r="I587" s="1"/>
      <c r="J587" s="1"/>
      <c r="K587" s="1"/>
    </row>
    <row r="588" spans="1:11">
      <c r="A588" s="1"/>
      <c r="B588" s="1"/>
      <c r="C588" s="1"/>
      <c r="D588" s="1"/>
      <c r="E588" s="1"/>
      <c r="F588" s="1"/>
      <c r="G588" s="1"/>
      <c r="H588" s="1"/>
      <c r="I588" s="1"/>
      <c r="J588" s="1"/>
      <c r="K588" s="1"/>
    </row>
    <row r="589" spans="1:11">
      <c r="A589" s="1"/>
      <c r="B589" s="1"/>
      <c r="C589" s="1"/>
      <c r="D589" s="1"/>
      <c r="E589" s="1"/>
      <c r="F589" s="1"/>
      <c r="G589" s="1"/>
      <c r="H589" s="1"/>
      <c r="I589" s="1"/>
      <c r="J589" s="1"/>
      <c r="K589" s="1"/>
    </row>
    <row r="590" spans="1:11">
      <c r="A590" s="1"/>
      <c r="B590" s="1"/>
      <c r="C590" s="1"/>
      <c r="D590" s="1"/>
      <c r="E590" s="1"/>
      <c r="F590" s="1"/>
      <c r="G590" s="1"/>
      <c r="H590" s="1"/>
      <c r="I590" s="1"/>
      <c r="J590" s="1"/>
      <c r="K590" s="1"/>
    </row>
    <row r="591" spans="1:11">
      <c r="A591" s="1"/>
      <c r="B591" s="1"/>
      <c r="C591" s="1"/>
      <c r="D591" s="1"/>
      <c r="E591" s="1"/>
      <c r="F591" s="1"/>
      <c r="G591" s="1"/>
      <c r="H591" s="1"/>
      <c r="I591" s="1"/>
      <c r="J591" s="1"/>
      <c r="K591" s="1"/>
    </row>
    <row r="592" spans="1:11">
      <c r="A592" s="1"/>
      <c r="B592" s="1"/>
      <c r="C592" s="1"/>
      <c r="D592" s="1"/>
      <c r="E592" s="1"/>
      <c r="F592" s="1"/>
      <c r="G592" s="1"/>
      <c r="H592" s="1"/>
      <c r="I592" s="1"/>
      <c r="J592" s="1"/>
      <c r="K592" s="1"/>
    </row>
    <row r="593" spans="1:11">
      <c r="A593" s="1"/>
      <c r="B593" s="1"/>
      <c r="C593" s="1"/>
      <c r="D593" s="1"/>
      <c r="E593" s="1"/>
      <c r="F593" s="1"/>
      <c r="G593" s="1"/>
      <c r="H593" s="1"/>
      <c r="I593" s="1"/>
      <c r="J593" s="1"/>
      <c r="K593" s="1"/>
    </row>
    <row r="594" spans="1:11">
      <c r="A594" s="1"/>
      <c r="B594" s="1"/>
      <c r="C594" s="1"/>
      <c r="D594" s="1"/>
      <c r="E594" s="1"/>
      <c r="F594" s="1"/>
      <c r="G594" s="1"/>
      <c r="H594" s="1"/>
      <c r="I594" s="1"/>
      <c r="J594" s="1"/>
      <c r="K594" s="1"/>
    </row>
    <row r="595" spans="1:11">
      <c r="A595" s="1"/>
      <c r="B595" s="1"/>
      <c r="C595" s="1"/>
      <c r="D595" s="1"/>
      <c r="E595" s="1"/>
      <c r="F595" s="1"/>
      <c r="G595" s="1"/>
      <c r="H595" s="1"/>
      <c r="I595" s="1"/>
      <c r="J595" s="1"/>
      <c r="K595" s="1"/>
    </row>
    <row r="596" spans="1:11">
      <c r="A596" s="1"/>
      <c r="B596" s="1"/>
      <c r="C596" s="1"/>
      <c r="D596" s="1"/>
      <c r="E596" s="1"/>
      <c r="F596" s="1"/>
      <c r="G596" s="1"/>
      <c r="H596" s="1"/>
      <c r="I596" s="1"/>
      <c r="J596" s="1"/>
      <c r="K596" s="1"/>
    </row>
    <row r="597" spans="1:11">
      <c r="A597" s="1"/>
      <c r="B597" s="1"/>
      <c r="C597" s="1"/>
      <c r="D597" s="1"/>
      <c r="E597" s="1"/>
      <c r="F597" s="1"/>
      <c r="G597" s="1"/>
      <c r="H597" s="1"/>
      <c r="I597" s="1"/>
      <c r="J597" s="1"/>
      <c r="K597" s="1"/>
    </row>
    <row r="598" spans="1:11">
      <c r="A598" s="1"/>
      <c r="B598" s="1"/>
      <c r="C598" s="1"/>
      <c r="D598" s="1"/>
      <c r="E598" s="1"/>
      <c r="F598" s="1"/>
      <c r="G598" s="1"/>
      <c r="H598" s="1"/>
      <c r="I598" s="1"/>
      <c r="J598" s="1"/>
      <c r="K598" s="1"/>
    </row>
    <row r="599" spans="1:11">
      <c r="A599" s="1"/>
      <c r="B599" s="1"/>
      <c r="C599" s="1"/>
      <c r="D599" s="1"/>
      <c r="E599" s="1"/>
      <c r="F599" s="1"/>
      <c r="G599" s="1"/>
      <c r="H599" s="1"/>
      <c r="I599" s="1"/>
      <c r="J599" s="1"/>
      <c r="K599" s="1"/>
    </row>
    <row r="600" spans="1:11">
      <c r="A600" s="1"/>
      <c r="B600" s="1"/>
      <c r="C600" s="1"/>
      <c r="D600" s="1"/>
      <c r="E600" s="1"/>
      <c r="F600" s="1"/>
      <c r="G600" s="1"/>
      <c r="H600" s="1"/>
      <c r="I600" s="1"/>
      <c r="J600" s="1"/>
      <c r="K600" s="1"/>
    </row>
    <row r="601" spans="1:11">
      <c r="A601" s="1"/>
      <c r="B601" s="1"/>
      <c r="C601" s="1"/>
      <c r="D601" s="1"/>
      <c r="E601" s="1"/>
      <c r="F601" s="1"/>
      <c r="G601" s="1"/>
      <c r="H601" s="1"/>
      <c r="I601" s="1"/>
      <c r="J601" s="1"/>
      <c r="K601" s="1"/>
    </row>
    <row r="602" spans="1:11">
      <c r="A602" s="1"/>
      <c r="B602" s="1"/>
      <c r="C602" s="1"/>
      <c r="D602" s="1"/>
      <c r="E602" s="1"/>
      <c r="F602" s="1"/>
      <c r="G602" s="1"/>
      <c r="H602" s="1"/>
      <c r="I602" s="1"/>
      <c r="J602" s="1"/>
      <c r="K602" s="1"/>
    </row>
    <row r="603" spans="1:11">
      <c r="A603" s="1"/>
      <c r="B603" s="1"/>
      <c r="C603" s="1"/>
      <c r="D603" s="1"/>
      <c r="E603" s="1"/>
      <c r="F603" s="1"/>
      <c r="G603" s="1"/>
      <c r="H603" s="1"/>
      <c r="I603" s="1"/>
      <c r="J603" s="1"/>
      <c r="K603" s="1"/>
    </row>
    <row r="604" spans="1:11">
      <c r="A604" s="1"/>
      <c r="B604" s="1"/>
      <c r="C604" s="1"/>
      <c r="D604" s="1"/>
      <c r="E604" s="1"/>
      <c r="F604" s="1"/>
      <c r="G604" s="1"/>
      <c r="H604" s="1"/>
      <c r="I604" s="1"/>
      <c r="J604" s="1"/>
      <c r="K604" s="1"/>
    </row>
    <row r="605" spans="1:11">
      <c r="A605" s="1"/>
      <c r="B605" s="1"/>
      <c r="C605" s="1"/>
      <c r="D605" s="1"/>
      <c r="E605" s="1"/>
      <c r="F605" s="1"/>
      <c r="G605" s="1"/>
      <c r="H605" s="1"/>
      <c r="I605" s="1"/>
      <c r="J605" s="1"/>
      <c r="K605" s="1"/>
    </row>
    <row r="606" spans="1:11">
      <c r="A606" s="1"/>
      <c r="B606" s="1"/>
      <c r="C606" s="1"/>
      <c r="D606" s="1"/>
      <c r="E606" s="1"/>
      <c r="F606" s="1"/>
      <c r="G606" s="1"/>
      <c r="H606" s="1"/>
      <c r="I606" s="1"/>
      <c r="J606" s="1"/>
      <c r="K606" s="1"/>
    </row>
    <row r="607" spans="1:11">
      <c r="A607" s="1"/>
      <c r="B607" s="1"/>
      <c r="C607" s="1"/>
      <c r="D607" s="1"/>
      <c r="E607" s="1"/>
      <c r="F607" s="1"/>
      <c r="G607" s="1"/>
      <c r="H607" s="1"/>
      <c r="I607" s="1"/>
      <c r="J607" s="1"/>
      <c r="K607" s="1"/>
    </row>
    <row r="608" spans="1:11">
      <c r="A608" s="1"/>
      <c r="B608" s="1"/>
      <c r="C608" s="1"/>
      <c r="D608" s="1"/>
      <c r="E608" s="1"/>
      <c r="F608" s="1"/>
      <c r="G608" s="1"/>
      <c r="H608" s="1"/>
      <c r="I608" s="1"/>
      <c r="J608" s="1"/>
      <c r="K608" s="1"/>
    </row>
    <row r="609" spans="1:11">
      <c r="A609" s="1"/>
      <c r="B609" s="1"/>
      <c r="C609" s="1"/>
      <c r="D609" s="1"/>
      <c r="E609" s="1"/>
      <c r="F609" s="1"/>
      <c r="G609" s="1"/>
      <c r="H609" s="1"/>
      <c r="I609" s="1"/>
      <c r="J609" s="1"/>
      <c r="K609" s="1"/>
    </row>
    <row r="610" spans="1:11">
      <c r="A610" s="1"/>
      <c r="B610" s="1"/>
      <c r="C610" s="1"/>
      <c r="D610" s="1"/>
      <c r="E610" s="1"/>
      <c r="F610" s="1"/>
      <c r="G610" s="1"/>
      <c r="H610" s="1"/>
      <c r="I610" s="1"/>
      <c r="J610" s="1"/>
      <c r="K610" s="1"/>
    </row>
    <row r="611" spans="1:11">
      <c r="A611" s="1"/>
      <c r="B611" s="1"/>
      <c r="C611" s="1"/>
      <c r="D611" s="1"/>
      <c r="E611" s="1"/>
      <c r="F611" s="1"/>
      <c r="G611" s="1"/>
      <c r="H611" s="1"/>
      <c r="I611" s="1"/>
      <c r="J611" s="1"/>
      <c r="K611" s="1"/>
    </row>
    <row r="612" spans="1:11">
      <c r="A612" s="1"/>
      <c r="B612" s="1"/>
      <c r="C612" s="1"/>
      <c r="D612" s="1"/>
      <c r="E612" s="1"/>
      <c r="F612" s="1"/>
      <c r="G612" s="1"/>
      <c r="H612" s="1"/>
      <c r="I612" s="1"/>
      <c r="J612" s="1"/>
      <c r="K612" s="1"/>
    </row>
    <row r="613" spans="1:11">
      <c r="A613" s="1"/>
      <c r="B613" s="1"/>
      <c r="C613" s="1"/>
      <c r="D613" s="1"/>
      <c r="E613" s="1"/>
      <c r="F613" s="1"/>
      <c r="G613" s="1"/>
      <c r="H613" s="1"/>
      <c r="I613" s="1"/>
      <c r="J613" s="1"/>
      <c r="K613" s="1"/>
    </row>
    <row r="614" spans="1:11">
      <c r="A614" s="1"/>
      <c r="B614" s="1"/>
      <c r="C614" s="1"/>
      <c r="D614" s="1"/>
      <c r="E614" s="1"/>
      <c r="F614" s="1"/>
      <c r="G614" s="1"/>
      <c r="H614" s="1"/>
      <c r="I614" s="1"/>
      <c r="J614" s="1"/>
      <c r="K614" s="1"/>
    </row>
    <row r="615" spans="1:11">
      <c r="A615" s="1"/>
      <c r="B615" s="1"/>
      <c r="C615" s="1"/>
      <c r="D615" s="1"/>
      <c r="E615" s="1"/>
      <c r="F615" s="1"/>
      <c r="G615" s="1"/>
      <c r="H615" s="1"/>
      <c r="I615" s="1"/>
      <c r="J615" s="1"/>
      <c r="K615" s="1"/>
    </row>
    <row r="616" spans="1:11">
      <c r="A616" s="1"/>
      <c r="B616" s="1"/>
      <c r="C616" s="1"/>
      <c r="D616" s="1"/>
      <c r="E616" s="1"/>
      <c r="F616" s="1"/>
      <c r="G616" s="1"/>
      <c r="H616" s="1"/>
      <c r="I616" s="1"/>
      <c r="J616" s="1"/>
      <c r="K616" s="1"/>
    </row>
    <row r="617" spans="1:11">
      <c r="A617" s="1"/>
      <c r="B617" s="1"/>
      <c r="C617" s="1"/>
      <c r="D617" s="1"/>
      <c r="E617" s="1"/>
      <c r="F617" s="1"/>
      <c r="G617" s="1"/>
      <c r="H617" s="1"/>
      <c r="I617" s="1"/>
      <c r="J617" s="1"/>
      <c r="K617" s="1"/>
    </row>
    <row r="618" spans="1:11">
      <c r="A618" s="1"/>
      <c r="B618" s="1"/>
      <c r="C618" s="1"/>
      <c r="D618" s="1"/>
      <c r="E618" s="1"/>
      <c r="F618" s="1"/>
      <c r="G618" s="1"/>
      <c r="H618" s="1"/>
      <c r="I618" s="1"/>
      <c r="J618" s="1"/>
      <c r="K618" s="1"/>
    </row>
    <row r="619" spans="1:11">
      <c r="A619" s="1"/>
      <c r="B619" s="1"/>
      <c r="C619" s="1"/>
      <c r="D619" s="1"/>
      <c r="E619" s="1"/>
      <c r="F619" s="1"/>
      <c r="G619" s="1"/>
      <c r="H619" s="1"/>
      <c r="I619" s="1"/>
      <c r="J619" s="1"/>
      <c r="K619" s="1"/>
    </row>
    <row r="620" spans="1:11">
      <c r="A620" s="1"/>
      <c r="B620" s="1"/>
      <c r="C620" s="1"/>
      <c r="D620" s="1"/>
      <c r="E620" s="1"/>
      <c r="F620" s="1"/>
      <c r="G620" s="1"/>
      <c r="H620" s="1"/>
      <c r="I620" s="1"/>
      <c r="J620" s="1"/>
      <c r="K620" s="1"/>
    </row>
    <row r="621" spans="1:11">
      <c r="A621" s="1"/>
      <c r="B621" s="1"/>
      <c r="C621" s="1"/>
      <c r="D621" s="1"/>
      <c r="E621" s="1"/>
      <c r="F621" s="1"/>
      <c r="G621" s="1"/>
      <c r="H621" s="1"/>
      <c r="I621" s="1"/>
      <c r="J621" s="1"/>
      <c r="K621" s="1"/>
    </row>
    <row r="622" spans="1:11">
      <c r="A622" s="1"/>
      <c r="B622" s="1"/>
      <c r="C622" s="1"/>
      <c r="D622" s="1"/>
      <c r="E622" s="1"/>
      <c r="F622" s="1"/>
      <c r="G622" s="1"/>
      <c r="H622" s="1"/>
      <c r="I622" s="1"/>
      <c r="J622" s="1"/>
      <c r="K622" s="1"/>
    </row>
    <row r="623" spans="1:11">
      <c r="A623" s="1"/>
      <c r="B623" s="1"/>
      <c r="C623" s="1"/>
      <c r="D623" s="1"/>
      <c r="E623" s="1"/>
      <c r="F623" s="1"/>
      <c r="G623" s="1"/>
      <c r="H623" s="1"/>
      <c r="I623" s="1"/>
      <c r="J623" s="1"/>
      <c r="K623" s="1"/>
    </row>
    <row r="624" spans="1:11">
      <c r="A624" s="1"/>
      <c r="B624" s="1"/>
      <c r="C624" s="1"/>
      <c r="D624" s="1"/>
      <c r="E624" s="1"/>
      <c r="F624" s="1"/>
      <c r="G624" s="1"/>
      <c r="H624" s="1"/>
      <c r="I624" s="1"/>
      <c r="J624" s="1"/>
      <c r="K624" s="1"/>
    </row>
    <row r="625" spans="1:11">
      <c r="A625" s="1"/>
      <c r="B625" s="1"/>
      <c r="C625" s="1"/>
      <c r="D625" s="1"/>
      <c r="E625" s="1"/>
      <c r="F625" s="1"/>
      <c r="G625" s="1"/>
      <c r="H625" s="1"/>
      <c r="I625" s="1"/>
      <c r="J625" s="1"/>
      <c r="K625" s="1"/>
    </row>
    <row r="626" spans="1:11">
      <c r="A626" s="1"/>
      <c r="B626" s="1"/>
      <c r="C626" s="1"/>
      <c r="D626" s="1"/>
      <c r="E626" s="1"/>
      <c r="F626" s="1"/>
      <c r="G626" s="1"/>
      <c r="H626" s="1"/>
      <c r="I626" s="1"/>
      <c r="J626" s="1"/>
      <c r="K626" s="1"/>
    </row>
    <row r="627" spans="1:11">
      <c r="A627" s="1"/>
      <c r="B627" s="1"/>
      <c r="C627" s="1"/>
      <c r="D627" s="1"/>
      <c r="E627" s="1"/>
      <c r="F627" s="1"/>
      <c r="G627" s="1"/>
      <c r="H627" s="1"/>
      <c r="I627" s="1"/>
      <c r="J627" s="1"/>
      <c r="K627" s="1"/>
    </row>
    <row r="628" spans="1:11">
      <c r="A628" s="1"/>
      <c r="B628" s="1"/>
      <c r="C628" s="1"/>
      <c r="D628" s="1"/>
      <c r="E628" s="1"/>
      <c r="F628" s="1"/>
      <c r="G628" s="1"/>
      <c r="H628" s="1"/>
      <c r="I628" s="1"/>
      <c r="J628" s="1"/>
      <c r="K628" s="1"/>
    </row>
    <row r="629" spans="1:11">
      <c r="A629" s="1"/>
      <c r="B629" s="1"/>
      <c r="C629" s="1"/>
      <c r="D629" s="1"/>
      <c r="E629" s="1"/>
      <c r="F629" s="1"/>
      <c r="G629" s="1"/>
      <c r="H629" s="1"/>
      <c r="I629" s="1"/>
      <c r="J629" s="1"/>
      <c r="K629" s="1"/>
    </row>
    <row r="630" spans="1:11">
      <c r="A630" s="1"/>
      <c r="B630" s="1"/>
      <c r="C630" s="1"/>
      <c r="D630" s="1"/>
      <c r="E630" s="1"/>
      <c r="F630" s="1"/>
      <c r="G630" s="1"/>
      <c r="H630" s="1"/>
      <c r="I630" s="1"/>
      <c r="J630" s="1"/>
      <c r="K630" s="1"/>
    </row>
    <row r="631" spans="1:11">
      <c r="A631" s="1"/>
      <c r="B631" s="1"/>
      <c r="C631" s="1"/>
      <c r="D631" s="1"/>
      <c r="E631" s="1"/>
      <c r="F631" s="1"/>
      <c r="G631" s="1"/>
      <c r="H631" s="1"/>
      <c r="I631" s="1"/>
      <c r="J631" s="1"/>
      <c r="K631" s="1"/>
    </row>
    <row r="632" spans="1:11">
      <c r="A632" s="1"/>
      <c r="B632" s="1"/>
      <c r="C632" s="1"/>
      <c r="D632" s="1"/>
      <c r="E632" s="1"/>
      <c r="F632" s="1"/>
      <c r="G632" s="1"/>
      <c r="H632" s="1"/>
      <c r="I632" s="1"/>
      <c r="J632" s="1"/>
      <c r="K632" s="1"/>
    </row>
    <row r="633" spans="1:11">
      <c r="A633" s="1"/>
      <c r="B633" s="1"/>
      <c r="C633" s="1"/>
      <c r="D633" s="1"/>
      <c r="E633" s="1"/>
      <c r="F633" s="1"/>
      <c r="G633" s="1"/>
      <c r="H633" s="1"/>
      <c r="I633" s="1"/>
      <c r="J633" s="1"/>
      <c r="K633" s="1"/>
    </row>
    <row r="634" spans="1:11">
      <c r="A634" s="1"/>
      <c r="B634" s="1"/>
      <c r="C634" s="1"/>
      <c r="D634" s="1"/>
      <c r="E634" s="1"/>
      <c r="F634" s="1"/>
      <c r="G634" s="1"/>
      <c r="H634" s="1"/>
      <c r="I634" s="1"/>
      <c r="J634" s="1"/>
      <c r="K634" s="1"/>
    </row>
    <row r="635" spans="1:11">
      <c r="A635" s="1"/>
      <c r="B635" s="1"/>
      <c r="C635" s="1"/>
      <c r="D635" s="1"/>
      <c r="E635" s="1"/>
      <c r="F635" s="1"/>
      <c r="G635" s="1"/>
      <c r="H635" s="1"/>
      <c r="I635" s="1"/>
      <c r="J635" s="1"/>
      <c r="K635" s="1"/>
    </row>
    <row r="636" spans="1:11">
      <c r="A636" s="1"/>
      <c r="B636" s="1"/>
      <c r="C636" s="1"/>
      <c r="D636" s="1"/>
      <c r="E636" s="1"/>
      <c r="F636" s="1"/>
      <c r="G636" s="1"/>
      <c r="H636" s="1"/>
      <c r="I636" s="1"/>
      <c r="J636" s="1"/>
      <c r="K636" s="1"/>
    </row>
    <row r="637" spans="1:11">
      <c r="A637" s="1"/>
      <c r="B637" s="1"/>
      <c r="C637" s="1"/>
      <c r="D637" s="1"/>
      <c r="E637" s="1"/>
      <c r="F637" s="1"/>
      <c r="G637" s="1"/>
      <c r="H637" s="1"/>
      <c r="I637" s="1"/>
      <c r="J637" s="1"/>
      <c r="K637" s="1"/>
    </row>
    <row r="638" spans="1:11">
      <c r="A638" s="1"/>
      <c r="B638" s="1"/>
      <c r="C638" s="1"/>
      <c r="D638" s="1"/>
      <c r="E638" s="1"/>
      <c r="F638" s="1"/>
      <c r="G638" s="1"/>
      <c r="H638" s="1"/>
      <c r="I638" s="1"/>
      <c r="J638" s="1"/>
      <c r="K638" s="1"/>
    </row>
    <row r="639" spans="1:11">
      <c r="A639" s="1"/>
      <c r="B639" s="1"/>
      <c r="C639" s="1"/>
      <c r="D639" s="1"/>
      <c r="E639" s="1"/>
      <c r="F639" s="1"/>
      <c r="G639" s="1"/>
      <c r="H639" s="1"/>
      <c r="I639" s="1"/>
      <c r="J639" s="1"/>
      <c r="K639" s="1"/>
    </row>
    <row r="640" spans="1:11">
      <c r="A640" s="1"/>
      <c r="B640" s="1"/>
      <c r="C640" s="1"/>
      <c r="D640" s="1"/>
      <c r="E640" s="1"/>
      <c r="F640" s="1"/>
      <c r="G640" s="1"/>
      <c r="H640" s="1"/>
      <c r="I640" s="1"/>
      <c r="J640" s="1"/>
      <c r="K640" s="1"/>
    </row>
    <row r="641" spans="1:11">
      <c r="A641" s="1"/>
      <c r="B641" s="1"/>
      <c r="C641" s="1"/>
      <c r="D641" s="1"/>
      <c r="E641" s="1"/>
      <c r="F641" s="1"/>
      <c r="G641" s="1"/>
      <c r="H641" s="1"/>
      <c r="I641" s="1"/>
      <c r="J641" s="1"/>
      <c r="K641" s="1"/>
    </row>
    <row r="642" spans="1:11">
      <c r="A642" s="1"/>
      <c r="B642" s="1"/>
      <c r="C642" s="1"/>
      <c r="D642" s="1"/>
      <c r="E642" s="1"/>
      <c r="F642" s="1"/>
      <c r="G642" s="1"/>
      <c r="H642" s="1"/>
      <c r="I642" s="1"/>
      <c r="J642" s="1"/>
      <c r="K642" s="1"/>
    </row>
    <row r="643" spans="1:11">
      <c r="A643" s="1"/>
      <c r="B643" s="1"/>
      <c r="C643" s="1"/>
      <c r="D643" s="1"/>
      <c r="E643" s="1"/>
      <c r="F643" s="1"/>
      <c r="G643" s="1"/>
      <c r="H643" s="1"/>
      <c r="I643" s="1"/>
      <c r="J643" s="1"/>
      <c r="K643" s="1"/>
    </row>
    <row r="644" spans="1:11">
      <c r="A644" s="1"/>
      <c r="B644" s="1"/>
      <c r="C644" s="1"/>
      <c r="D644" s="1"/>
      <c r="E644" s="1"/>
      <c r="F644" s="1"/>
      <c r="G644" s="1"/>
      <c r="H644" s="1"/>
      <c r="I644" s="1"/>
      <c r="J644" s="1"/>
      <c r="K644" s="1"/>
    </row>
    <row r="645" spans="1:11">
      <c r="A645" s="1"/>
      <c r="B645" s="1"/>
      <c r="C645" s="1"/>
      <c r="D645" s="1"/>
      <c r="E645" s="1"/>
      <c r="F645" s="1"/>
      <c r="G645" s="1"/>
      <c r="H645" s="1"/>
      <c r="I645" s="1"/>
      <c r="J645" s="1"/>
      <c r="K645" s="1"/>
    </row>
    <row r="646" spans="1:11">
      <c r="A646" s="1"/>
      <c r="B646" s="1"/>
      <c r="C646" s="1"/>
      <c r="D646" s="1"/>
      <c r="E646" s="1"/>
      <c r="F646" s="1"/>
      <c r="G646" s="1"/>
      <c r="H646" s="1"/>
      <c r="I646" s="1"/>
      <c r="J646" s="1"/>
      <c r="K646" s="1"/>
    </row>
    <row r="647" spans="1:11">
      <c r="A647" s="1"/>
      <c r="B647" s="1"/>
      <c r="C647" s="1"/>
      <c r="D647" s="1"/>
      <c r="E647" s="1"/>
      <c r="F647" s="1"/>
      <c r="G647" s="1"/>
      <c r="H647" s="1"/>
      <c r="I647" s="1"/>
      <c r="J647" s="1"/>
      <c r="K647" s="1"/>
    </row>
    <row r="648" spans="1:11">
      <c r="A648" s="1"/>
      <c r="B648" s="1"/>
      <c r="C648" s="1"/>
      <c r="D648" s="1"/>
      <c r="E648" s="1"/>
      <c r="F648" s="1"/>
      <c r="G648" s="1"/>
      <c r="H648" s="1"/>
      <c r="I648" s="1"/>
      <c r="J648" s="1"/>
      <c r="K648" s="1"/>
    </row>
    <row r="649" spans="1:11">
      <c r="A649" s="1"/>
      <c r="B649" s="1"/>
      <c r="C649" s="1"/>
      <c r="D649" s="1"/>
      <c r="E649" s="1"/>
      <c r="F649" s="1"/>
      <c r="G649" s="1"/>
      <c r="H649" s="1"/>
      <c r="I649" s="1"/>
      <c r="J649" s="1"/>
      <c r="K649" s="1"/>
    </row>
    <row r="650" spans="1:11">
      <c r="A650" s="1"/>
      <c r="B650" s="1"/>
      <c r="C650" s="1"/>
      <c r="D650" s="1"/>
      <c r="E650" s="1"/>
      <c r="F650" s="1"/>
      <c r="G650" s="1"/>
      <c r="H650" s="1"/>
      <c r="I650" s="1"/>
      <c r="J650" s="1"/>
      <c r="K650" s="1"/>
    </row>
    <row r="651" spans="1:11">
      <c r="A651" s="1"/>
      <c r="B651" s="1"/>
      <c r="C651" s="1"/>
      <c r="D651" s="1"/>
      <c r="E651" s="1"/>
      <c r="F651" s="1"/>
      <c r="G651" s="1"/>
      <c r="H651" s="1"/>
      <c r="I651" s="1"/>
      <c r="J651" s="1"/>
      <c r="K651" s="1"/>
    </row>
    <row r="652" spans="1:11">
      <c r="A652" s="1"/>
      <c r="B652" s="1"/>
      <c r="C652" s="1"/>
      <c r="D652" s="1"/>
      <c r="E652" s="1"/>
      <c r="F652" s="1"/>
      <c r="G652" s="1"/>
      <c r="H652" s="1"/>
      <c r="I652" s="1"/>
      <c r="J652" s="1"/>
      <c r="K652" s="1"/>
    </row>
    <row r="653" spans="1:11">
      <c r="A653" s="1"/>
      <c r="B653" s="1"/>
      <c r="C653" s="1"/>
      <c r="D653" s="1"/>
      <c r="E653" s="1"/>
      <c r="F653" s="1"/>
      <c r="G653" s="1"/>
      <c r="H653" s="1"/>
      <c r="I653" s="1"/>
      <c r="J653" s="1"/>
      <c r="K653" s="1"/>
    </row>
    <row r="654" spans="1:11">
      <c r="A654" s="1"/>
      <c r="B654" s="1"/>
      <c r="C654" s="1"/>
      <c r="D654" s="1"/>
      <c r="E654" s="1"/>
      <c r="F654" s="1"/>
      <c r="G654" s="1"/>
      <c r="H654" s="1"/>
      <c r="I654" s="1"/>
      <c r="J654" s="1"/>
      <c r="K654" s="1"/>
    </row>
    <row r="655" spans="1:11">
      <c r="A655" s="1"/>
      <c r="B655" s="1"/>
      <c r="C655" s="1"/>
      <c r="D655" s="1"/>
      <c r="E655" s="1"/>
      <c r="F655" s="1"/>
      <c r="G655" s="1"/>
      <c r="H655" s="1"/>
      <c r="I655" s="1"/>
      <c r="J655" s="1"/>
      <c r="K655" s="1"/>
    </row>
    <row r="656" spans="1:11">
      <c r="A656" s="1"/>
      <c r="B656" s="1"/>
      <c r="C656" s="1"/>
      <c r="D656" s="1"/>
      <c r="E656" s="1"/>
      <c r="F656" s="1"/>
      <c r="G656" s="1"/>
      <c r="H656" s="1"/>
      <c r="I656" s="1"/>
      <c r="J656" s="1"/>
      <c r="K656" s="1"/>
    </row>
    <row r="657" spans="1:11">
      <c r="A657" s="1"/>
      <c r="B657" s="1"/>
      <c r="C657" s="1"/>
      <c r="D657" s="1"/>
      <c r="E657" s="1"/>
      <c r="F657" s="1"/>
      <c r="G657" s="1"/>
      <c r="H657" s="1"/>
      <c r="I657" s="1"/>
      <c r="J657" s="1"/>
      <c r="K657" s="1"/>
    </row>
    <row r="658" spans="1:11">
      <c r="A658" s="1"/>
      <c r="B658" s="1"/>
      <c r="C658" s="1"/>
      <c r="D658" s="1"/>
      <c r="E658" s="1"/>
      <c r="F658" s="1"/>
      <c r="G658" s="1"/>
      <c r="H658" s="1"/>
      <c r="I658" s="1"/>
      <c r="J658" s="1"/>
      <c r="K658" s="1"/>
    </row>
    <row r="659" spans="1:11">
      <c r="A659" s="1"/>
      <c r="B659" s="1"/>
      <c r="C659" s="1"/>
      <c r="D659" s="1"/>
      <c r="E659" s="1"/>
      <c r="F659" s="1"/>
      <c r="G659" s="1"/>
      <c r="H659" s="1"/>
      <c r="I659" s="1"/>
      <c r="J659" s="1"/>
      <c r="K659" s="1"/>
    </row>
    <row r="660" spans="1:11">
      <c r="A660" s="1"/>
      <c r="B660" s="1"/>
      <c r="C660" s="1"/>
      <c r="D660" s="1"/>
      <c r="E660" s="1"/>
      <c r="F660" s="1"/>
      <c r="G660" s="1"/>
      <c r="H660" s="1"/>
      <c r="I660" s="1"/>
      <c r="J660" s="1"/>
      <c r="K660" s="1"/>
    </row>
    <row r="661" spans="1:11">
      <c r="A661" s="1"/>
      <c r="B661" s="1"/>
      <c r="C661" s="1"/>
      <c r="D661" s="1"/>
      <c r="E661" s="1"/>
      <c r="F661" s="1"/>
      <c r="G661" s="1"/>
      <c r="H661" s="1"/>
      <c r="I661" s="1"/>
      <c r="J661" s="1"/>
      <c r="K661" s="1"/>
    </row>
    <row r="662" spans="1:11">
      <c r="A662" s="1"/>
      <c r="B662" s="1"/>
      <c r="C662" s="1"/>
      <c r="D662" s="1"/>
      <c r="E662" s="1"/>
      <c r="F662" s="1"/>
      <c r="G662" s="1"/>
      <c r="H662" s="1"/>
      <c r="I662" s="1"/>
      <c r="J662" s="1"/>
      <c r="K662" s="1"/>
    </row>
    <row r="663" spans="1:11">
      <c r="A663" s="1"/>
      <c r="B663" s="1"/>
      <c r="C663" s="1"/>
      <c r="D663" s="1"/>
      <c r="E663" s="1"/>
      <c r="F663" s="1"/>
      <c r="G663" s="1"/>
      <c r="H663" s="1"/>
      <c r="I663" s="1"/>
      <c r="J663" s="1"/>
      <c r="K663" s="1"/>
    </row>
    <row r="664" spans="1:11">
      <c r="A664" s="1"/>
      <c r="B664" s="1"/>
      <c r="C664" s="1"/>
      <c r="D664" s="1"/>
      <c r="E664" s="1"/>
      <c r="F664" s="1"/>
      <c r="G664" s="1"/>
      <c r="H664" s="1"/>
      <c r="I664" s="1"/>
      <c r="J664" s="1"/>
      <c r="K664" s="1"/>
    </row>
    <row r="665" spans="1:11">
      <c r="A665" s="1"/>
      <c r="B665" s="1"/>
      <c r="C665" s="1"/>
      <c r="D665" s="1"/>
      <c r="E665" s="1"/>
      <c r="F665" s="1"/>
      <c r="G665" s="1"/>
      <c r="H665" s="1"/>
      <c r="I665" s="1"/>
      <c r="J665" s="1"/>
      <c r="K665" s="1"/>
    </row>
    <row r="666" spans="1:11">
      <c r="A666" s="1"/>
      <c r="B666" s="1"/>
      <c r="C666" s="1"/>
      <c r="D666" s="1"/>
      <c r="E666" s="1"/>
      <c r="F666" s="1"/>
      <c r="G666" s="1"/>
      <c r="H666" s="1"/>
      <c r="I666" s="1"/>
      <c r="J666" s="1"/>
      <c r="K666" s="1"/>
    </row>
    <row r="667" spans="1:11">
      <c r="A667" s="1"/>
      <c r="B667" s="1"/>
      <c r="C667" s="1"/>
      <c r="D667" s="1"/>
      <c r="E667" s="1"/>
      <c r="F667" s="1"/>
      <c r="G667" s="1"/>
      <c r="H667" s="1"/>
      <c r="I667" s="1"/>
      <c r="J667" s="1"/>
      <c r="K667" s="1"/>
    </row>
    <row r="668" spans="1:11">
      <c r="A668" s="1"/>
      <c r="B668" s="1"/>
      <c r="C668" s="1"/>
      <c r="D668" s="1"/>
      <c r="E668" s="1"/>
      <c r="F668" s="1"/>
      <c r="G668" s="1"/>
      <c r="H668" s="1"/>
      <c r="I668" s="1"/>
      <c r="J668" s="1"/>
      <c r="K668" s="1"/>
    </row>
    <row r="669" spans="1:11">
      <c r="A669" s="1"/>
      <c r="B669" s="1"/>
      <c r="C669" s="1"/>
      <c r="D669" s="1"/>
      <c r="E669" s="1"/>
      <c r="F669" s="1"/>
      <c r="G669" s="1"/>
      <c r="H669" s="1"/>
      <c r="I669" s="1"/>
      <c r="J669" s="1"/>
      <c r="K669" s="1"/>
    </row>
    <row r="670" spans="1:11">
      <c r="A670" s="1"/>
      <c r="B670" s="1"/>
      <c r="C670" s="1"/>
      <c r="D670" s="1"/>
      <c r="E670" s="1"/>
      <c r="F670" s="1"/>
      <c r="G670" s="1"/>
      <c r="H670" s="1"/>
      <c r="I670" s="1"/>
      <c r="J670" s="1"/>
      <c r="K670" s="1"/>
    </row>
    <row r="671" spans="1:11">
      <c r="A671" s="1"/>
      <c r="B671" s="1"/>
      <c r="C671" s="1"/>
      <c r="D671" s="1"/>
      <c r="E671" s="1"/>
      <c r="F671" s="1"/>
      <c r="G671" s="1"/>
      <c r="H671" s="1"/>
      <c r="I671" s="1"/>
      <c r="J671" s="1"/>
      <c r="K671" s="1"/>
    </row>
    <row r="672" spans="1:11">
      <c r="A672" s="1"/>
      <c r="B672" s="1"/>
      <c r="C672" s="1"/>
      <c r="D672" s="1"/>
      <c r="E672" s="1"/>
      <c r="F672" s="1"/>
      <c r="G672" s="1"/>
      <c r="H672" s="1"/>
      <c r="I672" s="1"/>
      <c r="J672" s="1"/>
      <c r="K672" s="1"/>
    </row>
    <row r="673" spans="1:11">
      <c r="A673" s="1"/>
      <c r="B673" s="1"/>
      <c r="C673" s="1"/>
      <c r="D673" s="1"/>
      <c r="E673" s="1"/>
      <c r="F673" s="1"/>
      <c r="G673" s="1"/>
      <c r="H673" s="1"/>
      <c r="I673" s="1"/>
      <c r="J673" s="1"/>
      <c r="K673" s="1"/>
    </row>
    <row r="674" spans="1:11">
      <c r="A674" s="1"/>
      <c r="B674" s="1"/>
      <c r="C674" s="1"/>
      <c r="D674" s="1"/>
      <c r="E674" s="1"/>
      <c r="F674" s="1"/>
      <c r="G674" s="1"/>
      <c r="H674" s="1"/>
      <c r="I674" s="1"/>
      <c r="J674" s="1"/>
      <c r="K674" s="1"/>
    </row>
    <row r="675" spans="1:11">
      <c r="A675" s="1"/>
      <c r="B675" s="1"/>
      <c r="C675" s="1"/>
      <c r="D675" s="1"/>
      <c r="E675" s="1"/>
      <c r="F675" s="1"/>
      <c r="G675" s="1"/>
      <c r="H675" s="1"/>
      <c r="I675" s="1"/>
      <c r="J675" s="1"/>
      <c r="K675" s="1"/>
    </row>
    <row r="676" spans="1:11">
      <c r="A676" s="1"/>
      <c r="B676" s="1"/>
      <c r="C676" s="1"/>
      <c r="D676" s="1"/>
      <c r="E676" s="1"/>
      <c r="F676" s="1"/>
      <c r="G676" s="1"/>
      <c r="H676" s="1"/>
      <c r="I676" s="1"/>
      <c r="J676" s="1"/>
      <c r="K676" s="1"/>
    </row>
    <row r="677" spans="1:11">
      <c r="A677" s="1"/>
      <c r="B677" s="1"/>
      <c r="C677" s="1"/>
      <c r="D677" s="1"/>
      <c r="E677" s="1"/>
      <c r="F677" s="1"/>
      <c r="G677" s="1"/>
      <c r="H677" s="1"/>
      <c r="I677" s="1"/>
      <c r="J677" s="1"/>
      <c r="K677" s="1"/>
    </row>
    <row r="678" spans="1:11">
      <c r="A678" s="1"/>
      <c r="B678" s="1"/>
      <c r="C678" s="1"/>
      <c r="D678" s="1"/>
      <c r="E678" s="1"/>
      <c r="F678" s="1"/>
      <c r="G678" s="1"/>
      <c r="H678" s="1"/>
      <c r="I678" s="1"/>
      <c r="J678" s="1"/>
      <c r="K678" s="1"/>
    </row>
    <row r="679" spans="1:11">
      <c r="A679" s="1"/>
      <c r="B679" s="1"/>
      <c r="C679" s="1"/>
      <c r="D679" s="1"/>
      <c r="E679" s="1"/>
      <c r="F679" s="1"/>
      <c r="G679" s="1"/>
      <c r="H679" s="1"/>
      <c r="I679" s="1"/>
      <c r="J679" s="1"/>
      <c r="K679" s="1"/>
    </row>
    <row r="680" spans="1:11">
      <c r="A680" s="1"/>
      <c r="B680" s="1"/>
      <c r="C680" s="1"/>
      <c r="D680" s="1"/>
      <c r="E680" s="1"/>
      <c r="F680" s="1"/>
      <c r="G680" s="1"/>
      <c r="H680" s="1"/>
      <c r="I680" s="1"/>
      <c r="J680" s="1"/>
      <c r="K680" s="1"/>
    </row>
    <row r="681" spans="1:11">
      <c r="A681" s="1"/>
      <c r="B681" s="1"/>
      <c r="C681" s="1"/>
      <c r="D681" s="1"/>
      <c r="E681" s="1"/>
      <c r="F681" s="1"/>
      <c r="G681" s="1"/>
      <c r="H681" s="1"/>
      <c r="I681" s="1"/>
      <c r="J681" s="1"/>
      <c r="K681" s="1"/>
    </row>
    <row r="682" spans="1:11">
      <c r="A682" s="1"/>
      <c r="B682" s="1"/>
      <c r="C682" s="1"/>
      <c r="D682" s="1"/>
      <c r="E682" s="1"/>
      <c r="F682" s="1"/>
      <c r="G682" s="1"/>
      <c r="H682" s="1"/>
      <c r="I682" s="1"/>
      <c r="J682" s="1"/>
      <c r="K682" s="1"/>
    </row>
    <row r="683" spans="1:11">
      <c r="A683" s="1"/>
      <c r="B683" s="1"/>
      <c r="C683" s="1"/>
      <c r="D683" s="1"/>
      <c r="E683" s="1"/>
      <c r="F683" s="1"/>
      <c r="G683" s="1"/>
      <c r="H683" s="1"/>
      <c r="I683" s="1"/>
      <c r="J683" s="1"/>
      <c r="K683" s="1"/>
    </row>
    <row r="684" spans="1:11">
      <c r="A684" s="1"/>
      <c r="B684" s="1"/>
      <c r="C684" s="1"/>
      <c r="D684" s="1"/>
      <c r="E684" s="1"/>
      <c r="F684" s="1"/>
      <c r="G684" s="1"/>
      <c r="H684" s="1"/>
      <c r="I684" s="1"/>
      <c r="J684" s="1"/>
      <c r="K684" s="1"/>
    </row>
    <row r="685" spans="1:11">
      <c r="A685" s="1"/>
      <c r="B685" s="1"/>
      <c r="C685" s="1"/>
      <c r="D685" s="1"/>
      <c r="E685" s="1"/>
      <c r="F685" s="1"/>
      <c r="G685" s="1"/>
      <c r="H685" s="1"/>
      <c r="I685" s="1"/>
      <c r="J685" s="1"/>
      <c r="K685" s="1"/>
    </row>
    <row r="686" spans="1:11">
      <c r="A686" s="1"/>
      <c r="B686" s="1"/>
      <c r="C686" s="1"/>
      <c r="D686" s="1"/>
      <c r="E686" s="1"/>
      <c r="F686" s="1"/>
      <c r="G686" s="1"/>
      <c r="H686" s="1"/>
      <c r="I686" s="1"/>
      <c r="J686" s="1"/>
      <c r="K686" s="1"/>
    </row>
    <row r="687" spans="1:11">
      <c r="A687" s="1"/>
      <c r="B687" s="1"/>
      <c r="C687" s="1"/>
      <c r="D687" s="1"/>
      <c r="E687" s="1"/>
      <c r="F687" s="1"/>
      <c r="G687" s="1"/>
      <c r="H687" s="1"/>
      <c r="I687" s="1"/>
      <c r="J687" s="1"/>
      <c r="K687" s="1"/>
    </row>
    <row r="688" spans="1:11">
      <c r="A688" s="1"/>
      <c r="B688" s="1"/>
      <c r="C688" s="1"/>
      <c r="D688" s="1"/>
      <c r="E688" s="1"/>
      <c r="F688" s="1"/>
      <c r="G688" s="1"/>
      <c r="H688" s="1"/>
      <c r="I688" s="1"/>
      <c r="J688" s="1"/>
      <c r="K688" s="1"/>
    </row>
    <row r="689" spans="1:11">
      <c r="A689" s="1"/>
      <c r="B689" s="1"/>
      <c r="C689" s="1"/>
      <c r="D689" s="1"/>
      <c r="E689" s="1"/>
      <c r="F689" s="1"/>
      <c r="G689" s="1"/>
      <c r="H689" s="1"/>
      <c r="I689" s="1"/>
      <c r="J689" s="1"/>
      <c r="K689" s="1"/>
    </row>
    <row r="690" spans="1:11">
      <c r="A690" s="1"/>
      <c r="B690" s="1"/>
      <c r="C690" s="1"/>
      <c r="D690" s="1"/>
      <c r="E690" s="1"/>
      <c r="F690" s="1"/>
      <c r="G690" s="1"/>
      <c r="H690" s="1"/>
      <c r="I690" s="1"/>
      <c r="J690" s="1"/>
      <c r="K690" s="1"/>
    </row>
    <row r="691" spans="1:11">
      <c r="A691" s="1"/>
      <c r="B691" s="1"/>
      <c r="C691" s="1"/>
      <c r="D691" s="1"/>
      <c r="E691" s="1"/>
      <c r="F691" s="1"/>
      <c r="G691" s="1"/>
      <c r="H691" s="1"/>
      <c r="I691" s="1"/>
      <c r="J691" s="1"/>
      <c r="K691" s="1"/>
    </row>
    <row r="692" spans="1:11">
      <c r="A692" s="1"/>
      <c r="B692" s="1"/>
      <c r="C692" s="1"/>
      <c r="D692" s="1"/>
      <c r="E692" s="1"/>
      <c r="F692" s="1"/>
      <c r="G692" s="1"/>
      <c r="H692" s="1"/>
      <c r="I692" s="1"/>
      <c r="J692" s="1"/>
      <c r="K692" s="1"/>
    </row>
    <row r="693" spans="1:11">
      <c r="A693" s="1"/>
      <c r="B693" s="1"/>
      <c r="C693" s="1"/>
      <c r="D693" s="1"/>
      <c r="E693" s="1"/>
      <c r="F693" s="1"/>
      <c r="G693" s="1"/>
      <c r="H693" s="1"/>
      <c r="I693" s="1"/>
      <c r="J693" s="1"/>
      <c r="K693" s="1"/>
    </row>
    <row r="694" spans="1:11">
      <c r="A694" s="1"/>
      <c r="B694" s="1"/>
      <c r="C694" s="1"/>
      <c r="D694" s="1"/>
      <c r="E694" s="1"/>
      <c r="F694" s="1"/>
      <c r="G694" s="1"/>
      <c r="H694" s="1"/>
      <c r="I694" s="1"/>
      <c r="J694" s="1"/>
      <c r="K694" s="1"/>
    </row>
    <row r="695" spans="1:11">
      <c r="A695" s="1"/>
      <c r="B695" s="1"/>
      <c r="C695" s="1"/>
      <c r="D695" s="1"/>
      <c r="E695" s="1"/>
      <c r="F695" s="1"/>
      <c r="G695" s="1"/>
      <c r="H695" s="1"/>
      <c r="I695" s="1"/>
      <c r="J695" s="1"/>
      <c r="K695" s="1"/>
    </row>
    <row r="696" spans="1:11">
      <c r="A696" s="1"/>
      <c r="B696" s="1"/>
      <c r="C696" s="1"/>
      <c r="D696" s="1"/>
      <c r="E696" s="1"/>
      <c r="F696" s="1"/>
      <c r="G696" s="1"/>
      <c r="H696" s="1"/>
      <c r="I696" s="1"/>
      <c r="J696" s="1"/>
      <c r="K696" s="1"/>
    </row>
    <row r="697" spans="1:11">
      <c r="A697" s="1"/>
      <c r="B697" s="1"/>
      <c r="C697" s="1"/>
      <c r="D697" s="1"/>
      <c r="E697" s="1"/>
      <c r="F697" s="1"/>
      <c r="G697" s="1"/>
      <c r="H697" s="1"/>
      <c r="I697" s="1"/>
      <c r="J697" s="1"/>
      <c r="K697" s="1"/>
    </row>
    <row r="698" spans="1:11">
      <c r="A698" s="1"/>
      <c r="B698" s="1"/>
      <c r="C698" s="1"/>
      <c r="D698" s="1"/>
      <c r="E698" s="1"/>
      <c r="F698" s="1"/>
      <c r="G698" s="1"/>
      <c r="H698" s="1"/>
      <c r="I698" s="1"/>
      <c r="J698" s="1"/>
      <c r="K698" s="1"/>
    </row>
    <row r="699" spans="1:11">
      <c r="A699" s="1"/>
      <c r="B699" s="1"/>
      <c r="C699" s="1"/>
      <c r="D699" s="1"/>
      <c r="E699" s="1"/>
      <c r="F699" s="1"/>
      <c r="G699" s="1"/>
      <c r="H699" s="1"/>
      <c r="I699" s="1"/>
      <c r="J699" s="1"/>
      <c r="K699" s="1"/>
    </row>
    <row r="700" spans="1:11">
      <c r="A700" s="1"/>
      <c r="B700" s="1"/>
      <c r="C700" s="1"/>
      <c r="D700" s="1"/>
      <c r="E700" s="1"/>
      <c r="F700" s="1"/>
      <c r="G700" s="1"/>
      <c r="H700" s="1"/>
      <c r="I700" s="1"/>
      <c r="J700" s="1"/>
      <c r="K700" s="1"/>
    </row>
    <row r="701" spans="1:11">
      <c r="A701" s="1"/>
      <c r="B701" s="1"/>
      <c r="C701" s="1"/>
      <c r="D701" s="1"/>
      <c r="E701" s="1"/>
      <c r="F701" s="1"/>
      <c r="G701" s="1"/>
      <c r="H701" s="1"/>
      <c r="I701" s="1"/>
      <c r="J701" s="1"/>
      <c r="K701" s="1"/>
    </row>
    <row r="702" spans="1:11">
      <c r="A702" s="1"/>
      <c r="B702" s="1"/>
      <c r="C702" s="1"/>
      <c r="D702" s="1"/>
      <c r="E702" s="1"/>
      <c r="F702" s="1"/>
      <c r="G702" s="1"/>
      <c r="H702" s="1"/>
      <c r="I702" s="1"/>
      <c r="J702" s="1"/>
      <c r="K702" s="1"/>
    </row>
    <row r="703" spans="1:11">
      <c r="A703" s="1"/>
      <c r="B703" s="1"/>
      <c r="C703" s="1"/>
      <c r="D703" s="1"/>
      <c r="E703" s="1"/>
      <c r="F703" s="1"/>
      <c r="G703" s="1"/>
      <c r="H703" s="1"/>
      <c r="I703" s="1"/>
      <c r="J703" s="1"/>
      <c r="K703" s="1"/>
    </row>
    <row r="704" spans="1:11">
      <c r="A704" s="1"/>
      <c r="B704" s="1"/>
      <c r="C704" s="1"/>
      <c r="D704" s="1"/>
      <c r="E704" s="1"/>
      <c r="F704" s="1"/>
      <c r="G704" s="1"/>
      <c r="H704" s="1"/>
      <c r="I704" s="1"/>
      <c r="J704" s="1"/>
      <c r="K704" s="1"/>
    </row>
    <row r="705" spans="1:11">
      <c r="A705" s="1"/>
      <c r="B705" s="1"/>
      <c r="C705" s="1"/>
      <c r="D705" s="1"/>
      <c r="E705" s="1"/>
      <c r="F705" s="1"/>
      <c r="G705" s="1"/>
      <c r="H705" s="1"/>
      <c r="I705" s="1"/>
      <c r="J705" s="1"/>
      <c r="K705" s="1"/>
    </row>
    <row r="706" spans="1:11">
      <c r="A706" s="1"/>
      <c r="B706" s="1"/>
      <c r="C706" s="1"/>
      <c r="D706" s="1"/>
      <c r="E706" s="1"/>
      <c r="F706" s="1"/>
      <c r="G706" s="1"/>
      <c r="H706" s="1"/>
      <c r="I706" s="1"/>
      <c r="J706" s="1"/>
      <c r="K706" s="1"/>
    </row>
    <row r="707" spans="1:11">
      <c r="A707" s="1"/>
      <c r="B707" s="1"/>
      <c r="C707" s="1"/>
      <c r="D707" s="1"/>
      <c r="E707" s="1"/>
      <c r="F707" s="1"/>
      <c r="G707" s="1"/>
      <c r="H707" s="1"/>
      <c r="I707" s="1"/>
      <c r="J707" s="1"/>
      <c r="K707" s="1"/>
    </row>
    <row r="708" spans="1:11">
      <c r="A708" s="1"/>
      <c r="B708" s="1"/>
      <c r="C708" s="1"/>
      <c r="D708" s="1"/>
      <c r="E708" s="1"/>
      <c r="F708" s="1"/>
      <c r="G708" s="1"/>
      <c r="H708" s="1"/>
      <c r="I708" s="1"/>
      <c r="J708" s="1"/>
      <c r="K708" s="1"/>
    </row>
    <row r="709" spans="1:11">
      <c r="A709" s="1"/>
      <c r="B709" s="1"/>
      <c r="C709" s="1"/>
      <c r="D709" s="1"/>
      <c r="E709" s="1"/>
      <c r="F709" s="1"/>
      <c r="G709" s="1"/>
      <c r="H709" s="1"/>
      <c r="I709" s="1"/>
      <c r="J709" s="1"/>
      <c r="K709" s="1"/>
    </row>
    <row r="710" spans="1:11">
      <c r="A710" s="1"/>
      <c r="B710" s="1"/>
      <c r="C710" s="1"/>
      <c r="D710" s="1"/>
      <c r="E710" s="1"/>
      <c r="F710" s="1"/>
      <c r="G710" s="1"/>
      <c r="H710" s="1"/>
      <c r="I710" s="1"/>
      <c r="J710" s="1"/>
      <c r="K710" s="1"/>
    </row>
    <row r="711" spans="1:11">
      <c r="A711" s="1"/>
      <c r="B711" s="1"/>
      <c r="C711" s="1"/>
      <c r="D711" s="1"/>
      <c r="E711" s="1"/>
      <c r="F711" s="1"/>
      <c r="G711" s="1"/>
      <c r="H711" s="1"/>
      <c r="I711" s="1"/>
      <c r="J711" s="1"/>
      <c r="K711" s="1"/>
    </row>
    <row r="712" spans="1:11">
      <c r="A712" s="1"/>
      <c r="B712" s="1"/>
      <c r="C712" s="1"/>
      <c r="D712" s="1"/>
      <c r="E712" s="1"/>
      <c r="F712" s="1"/>
      <c r="G712" s="1"/>
      <c r="H712" s="1"/>
      <c r="I712" s="1"/>
      <c r="J712" s="1"/>
      <c r="K712" s="1"/>
    </row>
    <row r="713" spans="1:11">
      <c r="A713" s="1"/>
      <c r="B713" s="1"/>
      <c r="C713" s="1"/>
      <c r="D713" s="1"/>
      <c r="E713" s="1"/>
      <c r="F713" s="1"/>
      <c r="G713" s="1"/>
      <c r="H713" s="1"/>
      <c r="I713" s="1"/>
      <c r="J713" s="1"/>
      <c r="K713" s="1"/>
    </row>
    <row r="714" spans="1:11">
      <c r="A714" s="1"/>
      <c r="B714" s="1"/>
      <c r="C714" s="1"/>
      <c r="D714" s="1"/>
      <c r="E714" s="1"/>
      <c r="F714" s="1"/>
      <c r="G714" s="1"/>
      <c r="H714" s="1"/>
      <c r="I714" s="1"/>
      <c r="J714" s="1"/>
      <c r="K714" s="1"/>
    </row>
    <row r="715" spans="1:11">
      <c r="A715" s="1"/>
      <c r="B715" s="1"/>
      <c r="C715" s="1"/>
      <c r="D715" s="1"/>
      <c r="E715" s="1"/>
      <c r="F715" s="1"/>
      <c r="G715" s="1"/>
      <c r="H715" s="1"/>
      <c r="I715" s="1"/>
      <c r="J715" s="1"/>
      <c r="K715" s="1"/>
    </row>
    <row r="716" spans="1:11">
      <c r="A716" s="1"/>
      <c r="B716" s="1"/>
      <c r="C716" s="1"/>
      <c r="D716" s="1"/>
      <c r="E716" s="1"/>
      <c r="F716" s="1"/>
      <c r="G716" s="1"/>
      <c r="H716" s="1"/>
      <c r="I716" s="1"/>
      <c r="J716" s="1"/>
      <c r="K716" s="1"/>
    </row>
    <row r="717" spans="1:11">
      <c r="A717" s="1"/>
      <c r="B717" s="1"/>
      <c r="C717" s="1"/>
      <c r="D717" s="1"/>
      <c r="E717" s="1"/>
      <c r="F717" s="1"/>
      <c r="G717" s="1"/>
      <c r="H717" s="1"/>
      <c r="I717" s="1"/>
      <c r="J717" s="1"/>
      <c r="K717" s="1"/>
    </row>
    <row r="718" spans="1:11">
      <c r="A718" s="1"/>
      <c r="B718" s="1"/>
      <c r="C718" s="1"/>
      <c r="D718" s="1"/>
      <c r="E718" s="1"/>
      <c r="F718" s="1"/>
      <c r="G718" s="1"/>
      <c r="H718" s="1"/>
      <c r="I718" s="1"/>
      <c r="J718" s="1"/>
      <c r="K718" s="1"/>
    </row>
    <row r="719" spans="1:11">
      <c r="A719" s="1"/>
      <c r="B719" s="1"/>
      <c r="C719" s="1"/>
      <c r="D719" s="1"/>
      <c r="E719" s="1"/>
      <c r="F719" s="1"/>
      <c r="G719" s="1"/>
      <c r="H719" s="1"/>
      <c r="I719" s="1"/>
      <c r="J719" s="1"/>
      <c r="K719" s="1"/>
    </row>
    <row r="720" spans="1:11">
      <c r="A720" s="1"/>
      <c r="B720" s="1"/>
      <c r="C720" s="1"/>
      <c r="D720" s="1"/>
      <c r="E720" s="1"/>
      <c r="F720" s="1"/>
      <c r="G720" s="1"/>
      <c r="H720" s="1"/>
      <c r="I720" s="1"/>
      <c r="J720" s="1"/>
      <c r="K720" s="1"/>
    </row>
    <row r="721" spans="1:11">
      <c r="A721" s="1"/>
      <c r="B721" s="1"/>
      <c r="C721" s="1"/>
      <c r="D721" s="1"/>
      <c r="E721" s="1"/>
      <c r="F721" s="1"/>
      <c r="G721" s="1"/>
      <c r="H721" s="1"/>
      <c r="I721" s="1"/>
      <c r="J721" s="1"/>
      <c r="K721" s="1"/>
    </row>
    <row r="722" spans="1:11">
      <c r="A722" s="1"/>
      <c r="B722" s="1"/>
      <c r="C722" s="1"/>
      <c r="D722" s="1"/>
      <c r="E722" s="1"/>
      <c r="F722" s="1"/>
      <c r="G722" s="1"/>
      <c r="H722" s="1"/>
      <c r="I722" s="1"/>
      <c r="J722" s="1"/>
      <c r="K722" s="1"/>
    </row>
    <row r="723" spans="1:11">
      <c r="A723" s="1"/>
      <c r="B723" s="1"/>
      <c r="C723" s="1"/>
      <c r="D723" s="1"/>
      <c r="E723" s="1"/>
      <c r="F723" s="1"/>
      <c r="G723" s="1"/>
      <c r="H723" s="1"/>
      <c r="I723" s="1"/>
      <c r="J723" s="1"/>
      <c r="K723" s="1"/>
    </row>
    <row r="724" spans="1:11">
      <c r="A724" s="1"/>
      <c r="B724" s="1"/>
      <c r="C724" s="1"/>
      <c r="D724" s="1"/>
      <c r="E724" s="1"/>
      <c r="F724" s="1"/>
      <c r="G724" s="1"/>
      <c r="H724" s="1"/>
      <c r="I724" s="1"/>
      <c r="J724" s="1"/>
      <c r="K724" s="1"/>
    </row>
    <row r="725" spans="1:11">
      <c r="A725" s="1"/>
      <c r="B725" s="1"/>
      <c r="C725" s="1"/>
      <c r="D725" s="1"/>
      <c r="E725" s="1"/>
      <c r="F725" s="1"/>
      <c r="G725" s="1"/>
      <c r="H725" s="1"/>
      <c r="I725" s="1"/>
      <c r="J725" s="1"/>
      <c r="K725" s="1"/>
    </row>
    <row r="726" spans="1:11">
      <c r="A726" s="1"/>
      <c r="B726" s="1"/>
      <c r="C726" s="1"/>
      <c r="D726" s="1"/>
      <c r="E726" s="1"/>
      <c r="F726" s="1"/>
      <c r="G726" s="1"/>
      <c r="H726" s="1"/>
      <c r="I726" s="1"/>
      <c r="J726" s="1"/>
      <c r="K726" s="1"/>
    </row>
    <row r="727" spans="1:11">
      <c r="A727" s="1"/>
      <c r="B727" s="1"/>
      <c r="C727" s="1"/>
      <c r="D727" s="1"/>
      <c r="E727" s="1"/>
      <c r="F727" s="1"/>
      <c r="G727" s="1"/>
      <c r="H727" s="1"/>
      <c r="I727" s="1"/>
      <c r="J727" s="1"/>
      <c r="K727" s="1"/>
    </row>
    <row r="728" spans="1:11">
      <c r="A728" s="1"/>
      <c r="B728" s="1"/>
      <c r="C728" s="1"/>
      <c r="D728" s="1"/>
      <c r="E728" s="1"/>
      <c r="F728" s="1"/>
      <c r="G728" s="1"/>
      <c r="H728" s="1"/>
      <c r="I728" s="1"/>
      <c r="J728" s="1"/>
      <c r="K728" s="1"/>
    </row>
    <row r="729" spans="1:11">
      <c r="A729" s="1"/>
      <c r="B729" s="1"/>
      <c r="C729" s="1"/>
      <c r="D729" s="1"/>
      <c r="E729" s="1"/>
      <c r="F729" s="1"/>
      <c r="G729" s="1"/>
      <c r="H729" s="1"/>
      <c r="I729" s="1"/>
      <c r="J729" s="1"/>
      <c r="K729" s="1"/>
    </row>
    <row r="730" spans="1:11">
      <c r="A730" s="1"/>
      <c r="B730" s="1"/>
      <c r="C730" s="1"/>
      <c r="D730" s="1"/>
      <c r="E730" s="1"/>
      <c r="F730" s="1"/>
      <c r="G730" s="1"/>
      <c r="H730" s="1"/>
      <c r="I730" s="1"/>
      <c r="J730" s="1"/>
      <c r="K730" s="1"/>
    </row>
    <row r="731" spans="1:11">
      <c r="A731" s="1"/>
      <c r="B731" s="1"/>
      <c r="C731" s="1"/>
      <c r="D731" s="1"/>
      <c r="E731" s="1"/>
      <c r="F731" s="1"/>
      <c r="G731" s="1"/>
      <c r="H731" s="1"/>
      <c r="I731" s="1"/>
      <c r="J731" s="1"/>
      <c r="K731" s="1"/>
    </row>
    <row r="732" spans="1:11">
      <c r="A732" s="1"/>
      <c r="B732" s="1"/>
      <c r="C732" s="1"/>
      <c r="D732" s="1"/>
      <c r="E732" s="1"/>
      <c r="F732" s="1"/>
      <c r="G732" s="1"/>
      <c r="H732" s="1"/>
      <c r="I732" s="1"/>
      <c r="J732" s="1"/>
      <c r="K732" s="1"/>
    </row>
    <row r="733" spans="1:11">
      <c r="A733" s="1"/>
      <c r="B733" s="1"/>
      <c r="C733" s="1"/>
      <c r="D733" s="1"/>
      <c r="E733" s="1"/>
      <c r="F733" s="1"/>
      <c r="G733" s="1"/>
      <c r="H733" s="1"/>
      <c r="I733" s="1"/>
      <c r="J733" s="1"/>
      <c r="K733" s="1"/>
    </row>
    <row r="734" spans="1:11">
      <c r="A734" s="1"/>
      <c r="B734" s="1"/>
      <c r="C734" s="1"/>
      <c r="D734" s="1"/>
      <c r="E734" s="1"/>
      <c r="F734" s="1"/>
      <c r="G734" s="1"/>
      <c r="H734" s="1"/>
      <c r="I734" s="1"/>
      <c r="J734" s="1"/>
      <c r="K734" s="1"/>
    </row>
    <row r="735" spans="1:11">
      <c r="A735" s="1"/>
      <c r="B735" s="1"/>
      <c r="C735" s="1"/>
      <c r="D735" s="1"/>
      <c r="E735" s="1"/>
      <c r="F735" s="1"/>
      <c r="G735" s="1"/>
      <c r="H735" s="1"/>
      <c r="I735" s="1"/>
      <c r="J735" s="1"/>
      <c r="K735" s="1"/>
    </row>
    <row r="736" spans="1:11">
      <c r="A736" s="1"/>
      <c r="B736" s="1"/>
      <c r="C736" s="1"/>
      <c r="D736" s="1"/>
      <c r="E736" s="1"/>
      <c r="F736" s="1"/>
      <c r="G736" s="1"/>
      <c r="H736" s="1"/>
      <c r="I736" s="1"/>
      <c r="J736" s="1"/>
      <c r="K736" s="1"/>
    </row>
    <row r="737" spans="1:11">
      <c r="A737" s="1"/>
      <c r="B737" s="1"/>
      <c r="C737" s="1"/>
      <c r="D737" s="1"/>
      <c r="E737" s="1"/>
      <c r="F737" s="1"/>
      <c r="G737" s="1"/>
      <c r="H737" s="1"/>
      <c r="I737" s="1"/>
      <c r="J737" s="1"/>
      <c r="K737" s="1"/>
    </row>
    <row r="738" spans="1:11">
      <c r="A738" s="1"/>
      <c r="B738" s="1"/>
      <c r="C738" s="1"/>
      <c r="D738" s="1"/>
      <c r="E738" s="1"/>
      <c r="F738" s="1"/>
      <c r="G738" s="1"/>
      <c r="H738" s="1"/>
      <c r="I738" s="1"/>
      <c r="J738" s="1"/>
      <c r="K738" s="1"/>
    </row>
    <row r="739" spans="1:11">
      <c r="A739" s="1"/>
      <c r="B739" s="1"/>
      <c r="C739" s="1"/>
      <c r="D739" s="1"/>
      <c r="E739" s="1"/>
      <c r="F739" s="1"/>
      <c r="G739" s="1"/>
      <c r="H739" s="1"/>
      <c r="I739" s="1"/>
      <c r="J739" s="1"/>
      <c r="K739" s="1"/>
    </row>
    <row r="740" spans="1:11">
      <c r="A740" s="1"/>
      <c r="B740" s="1"/>
      <c r="C740" s="1"/>
      <c r="D740" s="1"/>
      <c r="E740" s="1"/>
      <c r="F740" s="1"/>
      <c r="G740" s="1"/>
      <c r="H740" s="1"/>
      <c r="I740" s="1"/>
      <c r="J740" s="1"/>
      <c r="K740" s="1"/>
    </row>
    <row r="741" spans="1:11">
      <c r="A741" s="1"/>
      <c r="B741" s="1"/>
      <c r="C741" s="1"/>
      <c r="D741" s="1"/>
      <c r="E741" s="1"/>
      <c r="F741" s="1"/>
      <c r="G741" s="1"/>
      <c r="H741" s="1"/>
      <c r="I741" s="1"/>
      <c r="J741" s="1"/>
      <c r="K741" s="1"/>
    </row>
    <row r="742" spans="1:11">
      <c r="A742" s="1"/>
      <c r="B742" s="1"/>
      <c r="C742" s="1"/>
      <c r="D742" s="1"/>
      <c r="E742" s="1"/>
      <c r="F742" s="1"/>
      <c r="G742" s="1"/>
      <c r="H742" s="1"/>
      <c r="I742" s="1"/>
      <c r="J742" s="1"/>
      <c r="K742" s="1"/>
    </row>
    <row r="743" spans="1:11">
      <c r="A743" s="1"/>
      <c r="B743" s="1"/>
      <c r="C743" s="1"/>
      <c r="D743" s="1"/>
      <c r="E743" s="1"/>
      <c r="F743" s="1"/>
      <c r="G743" s="1"/>
      <c r="H743" s="1"/>
      <c r="I743" s="1"/>
      <c r="J743" s="1"/>
      <c r="K743" s="1"/>
    </row>
    <row r="744" spans="1:11">
      <c r="A744" s="1"/>
      <c r="B744" s="1"/>
      <c r="C744" s="1"/>
      <c r="D744" s="1"/>
      <c r="E744" s="1"/>
      <c r="F744" s="1"/>
      <c r="G744" s="1"/>
      <c r="H744" s="1"/>
      <c r="I744" s="1"/>
      <c r="J744" s="1"/>
      <c r="K744" s="1"/>
    </row>
    <row r="745" spans="1:11">
      <c r="A745" s="1"/>
      <c r="B745" s="1"/>
      <c r="C745" s="1"/>
      <c r="D745" s="1"/>
      <c r="E745" s="1"/>
      <c r="F745" s="1"/>
      <c r="G745" s="1"/>
      <c r="H745" s="1"/>
      <c r="I745" s="1"/>
      <c r="J745" s="1"/>
      <c r="K745" s="1"/>
    </row>
    <row r="746" spans="1:11">
      <c r="A746" s="1"/>
      <c r="B746" s="1"/>
      <c r="C746" s="1"/>
      <c r="D746" s="1"/>
      <c r="E746" s="1"/>
      <c r="F746" s="1"/>
      <c r="G746" s="1"/>
      <c r="H746" s="1"/>
      <c r="I746" s="1"/>
      <c r="J746" s="1"/>
      <c r="K746" s="1"/>
    </row>
    <row r="747" spans="1:11">
      <c r="A747" s="1"/>
      <c r="B747" s="1"/>
      <c r="C747" s="1"/>
      <c r="D747" s="1"/>
      <c r="E747" s="1"/>
      <c r="F747" s="1"/>
      <c r="G747" s="1"/>
      <c r="H747" s="1"/>
      <c r="I747" s="1"/>
      <c r="J747" s="1"/>
      <c r="K747" s="1"/>
    </row>
    <row r="748" spans="1:11">
      <c r="A748" s="1"/>
      <c r="B748" s="1"/>
      <c r="C748" s="1"/>
      <c r="D748" s="1"/>
      <c r="E748" s="1"/>
      <c r="F748" s="1"/>
      <c r="G748" s="1"/>
      <c r="H748" s="1"/>
      <c r="I748" s="1"/>
      <c r="J748" s="1"/>
      <c r="K748" s="1"/>
    </row>
    <row r="749" spans="1:11">
      <c r="A749" s="1"/>
      <c r="B749" s="1"/>
      <c r="C749" s="1"/>
      <c r="D749" s="1"/>
      <c r="E749" s="1"/>
      <c r="F749" s="1"/>
      <c r="G749" s="1"/>
      <c r="H749" s="1"/>
      <c r="I749" s="1"/>
      <c r="J749" s="1"/>
      <c r="K749" s="1"/>
    </row>
    <row r="750" spans="1:11">
      <c r="A750" s="1"/>
      <c r="B750" s="1"/>
      <c r="C750" s="1"/>
      <c r="D750" s="1"/>
      <c r="E750" s="1"/>
      <c r="F750" s="1"/>
      <c r="G750" s="1"/>
      <c r="H750" s="1"/>
      <c r="I750" s="1"/>
      <c r="J750" s="1"/>
      <c r="K750" s="1"/>
    </row>
    <row r="751" spans="1:11">
      <c r="A751" s="1"/>
      <c r="B751" s="1"/>
      <c r="C751" s="1"/>
      <c r="D751" s="1"/>
      <c r="E751" s="1"/>
      <c r="F751" s="1"/>
      <c r="G751" s="1"/>
      <c r="H751" s="1"/>
      <c r="I751" s="1"/>
      <c r="J751" s="1"/>
      <c r="K751" s="1"/>
    </row>
    <row r="752" spans="1:11">
      <c r="A752" s="1"/>
      <c r="B752" s="1"/>
      <c r="C752" s="1"/>
      <c r="D752" s="1"/>
      <c r="E752" s="1"/>
      <c r="F752" s="1"/>
      <c r="G752" s="1"/>
      <c r="H752" s="1"/>
      <c r="I752" s="1"/>
      <c r="J752" s="1"/>
      <c r="K752" s="1"/>
    </row>
    <row r="753" spans="1:11">
      <c r="A753" s="1"/>
      <c r="B753" s="1"/>
      <c r="C753" s="1"/>
      <c r="D753" s="1"/>
      <c r="E753" s="1"/>
      <c r="F753" s="1"/>
      <c r="G753" s="1"/>
      <c r="H753" s="1"/>
      <c r="I753" s="1"/>
      <c r="J753" s="1"/>
      <c r="K753" s="1"/>
    </row>
    <row r="754" spans="1:11">
      <c r="A754" s="1"/>
      <c r="B754" s="1"/>
      <c r="C754" s="1"/>
      <c r="D754" s="1"/>
      <c r="E754" s="1"/>
      <c r="F754" s="1"/>
      <c r="G754" s="1"/>
      <c r="H754" s="1"/>
      <c r="I754" s="1"/>
      <c r="J754" s="1"/>
      <c r="K754" s="1"/>
    </row>
    <row r="755" spans="1:11">
      <c r="A755" s="1"/>
      <c r="B755" s="1"/>
      <c r="C755" s="1"/>
      <c r="D755" s="1"/>
      <c r="E755" s="1"/>
      <c r="F755" s="1"/>
      <c r="G755" s="1"/>
      <c r="H755" s="1"/>
      <c r="I755" s="1"/>
      <c r="J755" s="1"/>
      <c r="K755" s="1"/>
    </row>
    <row r="756" spans="1:11">
      <c r="A756" s="1"/>
      <c r="B756" s="1"/>
      <c r="C756" s="1"/>
      <c r="D756" s="1"/>
      <c r="E756" s="1"/>
      <c r="F756" s="1"/>
      <c r="G756" s="1"/>
      <c r="H756" s="1"/>
      <c r="I756" s="1"/>
      <c r="J756" s="1"/>
      <c r="K756" s="1"/>
    </row>
    <row r="757" spans="1:11">
      <c r="A757" s="1"/>
      <c r="B757" s="1"/>
      <c r="C757" s="1"/>
      <c r="D757" s="1"/>
      <c r="E757" s="1"/>
      <c r="F757" s="1"/>
      <c r="G757" s="1"/>
      <c r="H757" s="1"/>
      <c r="I757" s="1"/>
      <c r="J757" s="1"/>
      <c r="K757" s="1"/>
    </row>
    <row r="758" spans="1:11">
      <c r="A758" s="1"/>
      <c r="B758" s="1"/>
      <c r="C758" s="1"/>
      <c r="D758" s="1"/>
      <c r="E758" s="1"/>
      <c r="F758" s="1"/>
      <c r="G758" s="1"/>
      <c r="H758" s="1"/>
      <c r="I758" s="1"/>
      <c r="J758" s="1"/>
      <c r="K758" s="1"/>
    </row>
    <row r="759" spans="1:11">
      <c r="A759" s="1"/>
      <c r="B759" s="1"/>
      <c r="C759" s="1"/>
      <c r="D759" s="1"/>
      <c r="E759" s="1"/>
      <c r="F759" s="1"/>
      <c r="G759" s="1"/>
      <c r="H759" s="1"/>
      <c r="I759" s="1"/>
      <c r="J759" s="1"/>
      <c r="K759" s="1"/>
    </row>
    <row r="760" spans="1:11">
      <c r="A760" s="1"/>
      <c r="B760" s="1"/>
      <c r="C760" s="1"/>
      <c r="D760" s="1"/>
      <c r="E760" s="1"/>
      <c r="F760" s="1"/>
      <c r="G760" s="1"/>
      <c r="H760" s="1"/>
      <c r="I760" s="1"/>
      <c r="J760" s="1"/>
      <c r="K760" s="1"/>
    </row>
    <row r="761" spans="1:11">
      <c r="A761" s="1"/>
      <c r="B761" s="1"/>
      <c r="C761" s="1"/>
      <c r="D761" s="1"/>
      <c r="E761" s="1"/>
      <c r="F761" s="1"/>
      <c r="G761" s="1"/>
      <c r="H761" s="1"/>
      <c r="I761" s="1"/>
      <c r="J761" s="1"/>
      <c r="K761" s="1"/>
    </row>
    <row r="762" spans="1:11">
      <c r="A762" s="1"/>
      <c r="B762" s="1"/>
      <c r="C762" s="1"/>
      <c r="D762" s="1"/>
      <c r="E762" s="1"/>
      <c r="F762" s="1"/>
      <c r="G762" s="1"/>
      <c r="H762" s="1"/>
      <c r="I762" s="1"/>
      <c r="J762" s="1"/>
      <c r="K762" s="1"/>
    </row>
    <row r="763" spans="1:11">
      <c r="A763" s="1"/>
      <c r="B763" s="1"/>
      <c r="C763" s="1"/>
      <c r="D763" s="1"/>
      <c r="E763" s="1"/>
      <c r="F763" s="1"/>
      <c r="G763" s="1"/>
      <c r="H763" s="1"/>
      <c r="I763" s="1"/>
      <c r="J763" s="1"/>
      <c r="K763" s="1"/>
    </row>
    <row r="764" spans="1:11">
      <c r="A764" s="1"/>
      <c r="B764" s="1"/>
      <c r="C764" s="1"/>
      <c r="D764" s="1"/>
      <c r="E764" s="1"/>
      <c r="F764" s="1"/>
      <c r="G764" s="1"/>
      <c r="H764" s="1"/>
      <c r="I764" s="1"/>
      <c r="J764" s="1"/>
      <c r="K764" s="1"/>
    </row>
    <row r="765" spans="1:11">
      <c r="A765" s="1"/>
      <c r="B765" s="1"/>
      <c r="C765" s="1"/>
      <c r="D765" s="1"/>
      <c r="E765" s="1"/>
      <c r="F765" s="1"/>
      <c r="G765" s="1"/>
      <c r="H765" s="1"/>
      <c r="I765" s="1"/>
      <c r="J765" s="1"/>
      <c r="K765" s="1"/>
    </row>
    <row r="766" spans="1:11">
      <c r="A766" s="1"/>
      <c r="B766" s="1"/>
      <c r="C766" s="1"/>
      <c r="D766" s="1"/>
      <c r="E766" s="1"/>
      <c r="F766" s="1"/>
      <c r="G766" s="1"/>
      <c r="H766" s="1"/>
      <c r="I766" s="1"/>
      <c r="J766" s="1"/>
      <c r="K766" s="1"/>
    </row>
    <row r="767" spans="1:11">
      <c r="A767" s="1"/>
      <c r="B767" s="1"/>
      <c r="C767" s="1"/>
      <c r="D767" s="1"/>
      <c r="E767" s="1"/>
      <c r="F767" s="1"/>
      <c r="G767" s="1"/>
      <c r="H767" s="1"/>
      <c r="I767" s="1"/>
      <c r="J767" s="1"/>
      <c r="K767" s="1"/>
    </row>
    <row r="768" spans="1:11">
      <c r="A768" s="1"/>
      <c r="B768" s="1"/>
      <c r="C768" s="1"/>
      <c r="D768" s="1"/>
      <c r="E768" s="1"/>
      <c r="F768" s="1"/>
      <c r="G768" s="1"/>
      <c r="H768" s="1"/>
      <c r="I768" s="1"/>
      <c r="J768" s="1"/>
      <c r="K768" s="1"/>
    </row>
    <row r="769" spans="1:11">
      <c r="A769" s="1"/>
      <c r="B769" s="1"/>
      <c r="C769" s="1"/>
      <c r="D769" s="1"/>
      <c r="E769" s="1"/>
      <c r="F769" s="1"/>
      <c r="G769" s="1"/>
      <c r="H769" s="1"/>
      <c r="I769" s="1"/>
      <c r="J769" s="1"/>
      <c r="K769" s="1"/>
    </row>
    <row r="770" spans="1:11">
      <c r="A770" s="1"/>
      <c r="B770" s="1"/>
      <c r="C770" s="1"/>
      <c r="D770" s="1"/>
      <c r="E770" s="1"/>
      <c r="F770" s="1"/>
      <c r="G770" s="1"/>
      <c r="H770" s="1"/>
      <c r="I770" s="1"/>
      <c r="J770" s="1"/>
      <c r="K770" s="1"/>
    </row>
    <row r="771" spans="1:11">
      <c r="A771" s="1"/>
      <c r="B771" s="1"/>
      <c r="C771" s="1"/>
      <c r="D771" s="1"/>
      <c r="E771" s="1"/>
      <c r="F771" s="1"/>
      <c r="G771" s="1"/>
      <c r="H771" s="1"/>
      <c r="I771" s="1"/>
      <c r="J771" s="1"/>
      <c r="K771" s="1"/>
    </row>
    <row r="772" spans="1:11">
      <c r="A772" s="1"/>
      <c r="B772" s="1"/>
      <c r="C772" s="1"/>
      <c r="D772" s="1"/>
      <c r="E772" s="1"/>
      <c r="F772" s="1"/>
      <c r="G772" s="1"/>
      <c r="H772" s="1"/>
      <c r="I772" s="1"/>
      <c r="J772" s="1"/>
      <c r="K772" s="1"/>
    </row>
    <row r="773" spans="1:11">
      <c r="A773" s="1"/>
      <c r="B773" s="1"/>
      <c r="C773" s="1"/>
      <c r="D773" s="1"/>
      <c r="E773" s="1"/>
      <c r="F773" s="1"/>
      <c r="G773" s="1"/>
      <c r="H773" s="1"/>
      <c r="I773" s="1"/>
      <c r="J773" s="1"/>
      <c r="K773" s="1"/>
    </row>
    <row r="774" spans="1:11">
      <c r="A774" s="1"/>
      <c r="B774" s="1"/>
      <c r="C774" s="1"/>
      <c r="D774" s="1"/>
      <c r="E774" s="1"/>
      <c r="F774" s="1"/>
      <c r="G774" s="1"/>
      <c r="H774" s="1"/>
      <c r="I774" s="1"/>
      <c r="J774" s="1"/>
      <c r="K774" s="1"/>
    </row>
    <row r="775" spans="1:11">
      <c r="A775" s="1"/>
      <c r="B775" s="1"/>
      <c r="C775" s="1"/>
      <c r="D775" s="1"/>
      <c r="E775" s="1"/>
      <c r="F775" s="1"/>
      <c r="G775" s="1"/>
      <c r="H775" s="1"/>
      <c r="I775" s="1"/>
      <c r="J775" s="1"/>
      <c r="K775" s="1"/>
    </row>
    <row r="776" spans="1:11">
      <c r="A776" s="1"/>
      <c r="B776" s="1"/>
      <c r="C776" s="1"/>
      <c r="D776" s="1"/>
      <c r="E776" s="1"/>
      <c r="F776" s="1"/>
      <c r="G776" s="1"/>
      <c r="H776" s="1"/>
      <c r="I776" s="1"/>
      <c r="J776" s="1"/>
      <c r="K776" s="1"/>
    </row>
    <row r="777" spans="1:11">
      <c r="A777" s="1"/>
      <c r="B777" s="1"/>
      <c r="C777" s="1"/>
      <c r="D777" s="1"/>
      <c r="E777" s="1"/>
      <c r="F777" s="1"/>
      <c r="G777" s="1"/>
      <c r="H777" s="1"/>
      <c r="I777" s="1"/>
      <c r="J777" s="1"/>
      <c r="K777" s="1"/>
    </row>
    <row r="778" spans="1:11">
      <c r="A778" s="1"/>
      <c r="B778" s="1"/>
      <c r="C778" s="1"/>
      <c r="D778" s="1"/>
      <c r="E778" s="1"/>
      <c r="F778" s="1"/>
      <c r="G778" s="1"/>
      <c r="H778" s="1"/>
      <c r="I778" s="1"/>
      <c r="J778" s="1"/>
      <c r="K778" s="1"/>
    </row>
    <row r="779" spans="1:11">
      <c r="A779" s="1"/>
      <c r="B779" s="1"/>
      <c r="C779" s="1"/>
      <c r="D779" s="1"/>
      <c r="E779" s="1"/>
      <c r="F779" s="1"/>
      <c r="G779" s="1"/>
      <c r="H779" s="1"/>
      <c r="I779" s="1"/>
      <c r="J779" s="1"/>
      <c r="K779" s="1"/>
    </row>
    <row r="780" spans="1:11">
      <c r="A780" s="1"/>
      <c r="B780" s="1"/>
      <c r="C780" s="1"/>
      <c r="D780" s="1"/>
      <c r="E780" s="1"/>
      <c r="F780" s="1"/>
      <c r="G780" s="1"/>
      <c r="H780" s="1"/>
      <c r="I780" s="1"/>
      <c r="J780" s="1"/>
      <c r="K780" s="1"/>
    </row>
    <row r="781" spans="1:11">
      <c r="A781" s="1"/>
      <c r="B781" s="1"/>
      <c r="C781" s="1"/>
      <c r="D781" s="1"/>
      <c r="E781" s="1"/>
      <c r="F781" s="1"/>
      <c r="G781" s="1"/>
      <c r="H781" s="1"/>
      <c r="I781" s="1"/>
      <c r="J781" s="1"/>
      <c r="K781" s="1"/>
    </row>
    <row r="782" spans="1:11">
      <c r="A782" s="1"/>
      <c r="B782" s="1"/>
      <c r="C782" s="1"/>
      <c r="D782" s="1"/>
      <c r="E782" s="1"/>
      <c r="F782" s="1"/>
      <c r="G782" s="1"/>
      <c r="H782" s="1"/>
      <c r="I782" s="1"/>
      <c r="J782" s="1"/>
      <c r="K782" s="1"/>
    </row>
    <row r="783" spans="1:11">
      <c r="A783" s="1"/>
      <c r="B783" s="1"/>
      <c r="C783" s="1"/>
      <c r="D783" s="1"/>
      <c r="E783" s="1"/>
      <c r="F783" s="1"/>
      <c r="G783" s="1"/>
      <c r="H783" s="1"/>
      <c r="I783" s="1"/>
      <c r="J783" s="1"/>
      <c r="K783" s="1"/>
    </row>
    <row r="784" spans="1:11">
      <c r="A784" s="1"/>
      <c r="B784" s="1"/>
      <c r="C784" s="1"/>
      <c r="D784" s="1"/>
      <c r="E784" s="1"/>
      <c r="F784" s="1"/>
      <c r="G784" s="1"/>
      <c r="H784" s="1"/>
      <c r="I784" s="1"/>
      <c r="J784" s="1"/>
      <c r="K784" s="1"/>
    </row>
    <row r="785" spans="1:11">
      <c r="A785" s="1"/>
      <c r="B785" s="1"/>
      <c r="C785" s="1"/>
      <c r="D785" s="1"/>
      <c r="E785" s="1"/>
      <c r="F785" s="1"/>
      <c r="G785" s="1"/>
      <c r="H785" s="1"/>
      <c r="I785" s="1"/>
      <c r="J785" s="1"/>
      <c r="K785" s="1"/>
    </row>
    <row r="786" spans="1:11">
      <c r="A786" s="1"/>
      <c r="B786" s="1"/>
      <c r="C786" s="1"/>
      <c r="D786" s="1"/>
      <c r="E786" s="1"/>
      <c r="F786" s="1"/>
      <c r="G786" s="1"/>
      <c r="H786" s="1"/>
      <c r="I786" s="1"/>
      <c r="J786" s="1"/>
      <c r="K786" s="1"/>
    </row>
    <row r="787" spans="1:11">
      <c r="A787" s="1"/>
      <c r="B787" s="1"/>
      <c r="C787" s="1"/>
      <c r="D787" s="1"/>
      <c r="E787" s="1"/>
      <c r="F787" s="1"/>
      <c r="G787" s="1"/>
      <c r="H787" s="1"/>
      <c r="I787" s="1"/>
      <c r="J787" s="1"/>
      <c r="K787" s="1"/>
    </row>
    <row r="788" spans="1:11">
      <c r="A788" s="1"/>
      <c r="B788" s="1"/>
      <c r="C788" s="1"/>
      <c r="D788" s="1"/>
      <c r="E788" s="1"/>
      <c r="F788" s="1"/>
      <c r="G788" s="1"/>
      <c r="H788" s="1"/>
      <c r="I788" s="1"/>
      <c r="J788" s="1"/>
      <c r="K788" s="1"/>
    </row>
    <row r="789" spans="1:11">
      <c r="A789" s="1"/>
      <c r="B789" s="1"/>
      <c r="C789" s="1"/>
      <c r="D789" s="1"/>
      <c r="E789" s="1"/>
      <c r="F789" s="1"/>
      <c r="G789" s="1"/>
      <c r="H789" s="1"/>
      <c r="I789" s="1"/>
      <c r="J789" s="1"/>
      <c r="K789" s="1"/>
    </row>
    <row r="790" spans="1:11">
      <c r="A790" s="1"/>
      <c r="B790" s="1"/>
      <c r="C790" s="1"/>
      <c r="D790" s="1"/>
      <c r="E790" s="1"/>
      <c r="F790" s="1"/>
      <c r="G790" s="1"/>
      <c r="H790" s="1"/>
      <c r="I790" s="1"/>
      <c r="J790" s="1"/>
      <c r="K790" s="1"/>
    </row>
    <row r="791" spans="1:11">
      <c r="A791" s="1"/>
      <c r="B791" s="1"/>
      <c r="C791" s="1"/>
      <c r="D791" s="1"/>
      <c r="E791" s="1"/>
      <c r="F791" s="1"/>
      <c r="G791" s="1"/>
      <c r="H791" s="1"/>
      <c r="I791" s="1"/>
      <c r="J791" s="1"/>
      <c r="K791" s="1"/>
    </row>
    <row r="792" spans="1:11">
      <c r="A792" s="1"/>
      <c r="B792" s="1"/>
      <c r="C792" s="1"/>
      <c r="D792" s="1"/>
      <c r="E792" s="1"/>
      <c r="F792" s="1"/>
      <c r="G792" s="1"/>
      <c r="H792" s="1"/>
      <c r="I792" s="1"/>
      <c r="J792" s="1"/>
      <c r="K792" s="1"/>
    </row>
    <row r="793" spans="1:11">
      <c r="A793" s="1"/>
      <c r="B793" s="1"/>
      <c r="C793" s="1"/>
      <c r="D793" s="1"/>
      <c r="E793" s="1"/>
      <c r="F793" s="1"/>
      <c r="G793" s="1"/>
      <c r="H793" s="1"/>
      <c r="I793" s="1"/>
      <c r="J793" s="1"/>
      <c r="K793" s="1"/>
    </row>
    <row r="794" spans="1:11">
      <c r="A794" s="1"/>
      <c r="B794" s="1"/>
      <c r="C794" s="1"/>
      <c r="D794" s="1"/>
      <c r="E794" s="1"/>
      <c r="F794" s="1"/>
      <c r="G794" s="1"/>
      <c r="H794" s="1"/>
      <c r="I794" s="1"/>
      <c r="J794" s="1"/>
      <c r="K794" s="1"/>
    </row>
    <row r="795" spans="1:11">
      <c r="A795" s="1"/>
      <c r="B795" s="1"/>
      <c r="C795" s="1"/>
      <c r="D795" s="1"/>
      <c r="E795" s="1"/>
      <c r="F795" s="1"/>
      <c r="G795" s="1"/>
      <c r="H795" s="1"/>
      <c r="I795" s="1"/>
      <c r="J795" s="1"/>
      <c r="K795" s="1"/>
    </row>
    <row r="796" spans="1:11">
      <c r="A796" s="1"/>
      <c r="B796" s="1"/>
      <c r="C796" s="1"/>
      <c r="D796" s="1"/>
      <c r="E796" s="1"/>
      <c r="F796" s="1"/>
      <c r="G796" s="1"/>
      <c r="H796" s="1"/>
      <c r="I796" s="1"/>
      <c r="J796" s="1"/>
      <c r="K796" s="1"/>
    </row>
    <row r="797" spans="1:11">
      <c r="A797" s="1"/>
      <c r="B797" s="1"/>
      <c r="C797" s="1"/>
      <c r="D797" s="1"/>
      <c r="E797" s="1"/>
      <c r="F797" s="1"/>
      <c r="G797" s="1"/>
      <c r="H797" s="1"/>
      <c r="I797" s="1"/>
      <c r="J797" s="1"/>
      <c r="K797" s="1"/>
    </row>
    <row r="798" spans="1:11">
      <c r="A798" s="1"/>
      <c r="B798" s="1"/>
      <c r="C798" s="1"/>
      <c r="D798" s="1"/>
      <c r="E798" s="1"/>
      <c r="F798" s="1"/>
      <c r="G798" s="1"/>
      <c r="H798" s="1"/>
      <c r="I798" s="1"/>
      <c r="J798" s="1"/>
      <c r="K798" s="1"/>
    </row>
    <row r="799" spans="1:11">
      <c r="A799" s="1"/>
      <c r="B799" s="1"/>
      <c r="C799" s="1"/>
      <c r="D799" s="1"/>
      <c r="E799" s="1"/>
      <c r="F799" s="1"/>
      <c r="G799" s="1"/>
      <c r="H799" s="1"/>
      <c r="I799" s="1"/>
      <c r="J799" s="1"/>
      <c r="K799" s="1"/>
    </row>
    <row r="800" spans="1:11">
      <c r="A800" s="1"/>
      <c r="B800" s="1"/>
      <c r="C800" s="1"/>
      <c r="D800" s="1"/>
      <c r="E800" s="1"/>
      <c r="F800" s="1"/>
      <c r="G800" s="1"/>
      <c r="H800" s="1"/>
      <c r="I800" s="1"/>
      <c r="J800" s="1"/>
      <c r="K800" s="1"/>
    </row>
    <row r="801" spans="1:11">
      <c r="A801" s="1"/>
      <c r="B801" s="1"/>
      <c r="C801" s="1"/>
      <c r="D801" s="1"/>
      <c r="E801" s="1"/>
      <c r="F801" s="1"/>
      <c r="G801" s="1"/>
      <c r="H801" s="1"/>
      <c r="I801" s="1"/>
      <c r="J801" s="1"/>
      <c r="K801" s="1"/>
    </row>
    <row r="802" spans="1:11">
      <c r="A802" s="1"/>
      <c r="B802" s="1"/>
      <c r="C802" s="1"/>
      <c r="D802" s="1"/>
      <c r="E802" s="1"/>
      <c r="F802" s="1"/>
      <c r="G802" s="1"/>
      <c r="H802" s="1"/>
      <c r="I802" s="1"/>
      <c r="J802" s="1"/>
      <c r="K802" s="1"/>
    </row>
    <row r="803" spans="1:11">
      <c r="A803" s="1"/>
      <c r="B803" s="1"/>
      <c r="C803" s="1"/>
      <c r="D803" s="1"/>
      <c r="E803" s="1"/>
      <c r="F803" s="1"/>
      <c r="G803" s="1"/>
      <c r="H803" s="1"/>
      <c r="I803" s="1"/>
      <c r="J803" s="1"/>
      <c r="K803" s="1"/>
    </row>
    <row r="804" spans="1:11">
      <c r="A804" s="1"/>
      <c r="B804" s="1"/>
      <c r="C804" s="1"/>
      <c r="D804" s="1"/>
      <c r="E804" s="1"/>
      <c r="F804" s="1"/>
      <c r="G804" s="1"/>
      <c r="H804" s="1"/>
      <c r="I804" s="1"/>
      <c r="J804" s="1"/>
      <c r="K804" s="1"/>
    </row>
    <row r="805" spans="1:11">
      <c r="A805" s="1"/>
      <c r="B805" s="1"/>
      <c r="C805" s="1"/>
      <c r="D805" s="1"/>
      <c r="E805" s="1"/>
      <c r="F805" s="1"/>
      <c r="G805" s="1"/>
      <c r="H805" s="1"/>
      <c r="I805" s="1"/>
      <c r="J805" s="1"/>
      <c r="K805" s="1"/>
    </row>
    <row r="806" spans="1:11">
      <c r="A806" s="1"/>
      <c r="B806" s="1"/>
      <c r="C806" s="1"/>
      <c r="D806" s="1"/>
      <c r="E806" s="1"/>
      <c r="F806" s="1"/>
      <c r="G806" s="1"/>
      <c r="H806" s="1"/>
      <c r="I806" s="1"/>
      <c r="J806" s="1"/>
      <c r="K806" s="1"/>
    </row>
    <row r="807" spans="1:11">
      <c r="A807" s="1"/>
      <c r="B807" s="1"/>
      <c r="C807" s="1"/>
      <c r="D807" s="1"/>
      <c r="E807" s="1"/>
      <c r="F807" s="1"/>
      <c r="G807" s="1"/>
      <c r="H807" s="1"/>
      <c r="I807" s="1"/>
      <c r="J807" s="1"/>
      <c r="K807" s="1"/>
    </row>
    <row r="808" spans="1:11">
      <c r="A808" s="1"/>
      <c r="B808" s="1"/>
      <c r="C808" s="1"/>
      <c r="D808" s="1"/>
      <c r="E808" s="1"/>
      <c r="F808" s="1"/>
      <c r="G808" s="1"/>
      <c r="H808" s="1"/>
      <c r="I808" s="1"/>
      <c r="J808" s="1"/>
      <c r="K808" s="1"/>
    </row>
    <row r="809" spans="1:11">
      <c r="A809" s="1"/>
      <c r="B809" s="1"/>
      <c r="C809" s="1"/>
      <c r="D809" s="1"/>
      <c r="E809" s="1"/>
      <c r="F809" s="1"/>
      <c r="G809" s="1"/>
      <c r="H809" s="1"/>
      <c r="I809" s="1"/>
      <c r="J809" s="1"/>
      <c r="K809" s="1"/>
    </row>
    <row r="810" spans="1:11">
      <c r="A810" s="1"/>
      <c r="B810" s="1"/>
      <c r="C810" s="1"/>
      <c r="D810" s="1"/>
      <c r="E810" s="1"/>
      <c r="F810" s="1"/>
      <c r="G810" s="1"/>
      <c r="H810" s="1"/>
      <c r="I810" s="1"/>
      <c r="J810" s="1"/>
      <c r="K810" s="1"/>
    </row>
    <row r="811" spans="1:11">
      <c r="A811" s="1"/>
      <c r="B811" s="1"/>
      <c r="C811" s="1"/>
      <c r="D811" s="1"/>
      <c r="E811" s="1"/>
      <c r="F811" s="1"/>
      <c r="G811" s="1"/>
      <c r="H811" s="1"/>
      <c r="I811" s="1"/>
      <c r="J811" s="1"/>
      <c r="K811" s="1"/>
    </row>
    <row r="812" spans="1:11">
      <c r="A812" s="1"/>
      <c r="B812" s="1"/>
      <c r="C812" s="1"/>
      <c r="D812" s="1"/>
      <c r="E812" s="1"/>
      <c r="F812" s="1"/>
      <c r="G812" s="1"/>
      <c r="H812" s="1"/>
      <c r="I812" s="1"/>
      <c r="J812" s="1"/>
      <c r="K812" s="1"/>
    </row>
    <row r="813" spans="1:11">
      <c r="A813" s="1"/>
      <c r="B813" s="1"/>
      <c r="C813" s="1"/>
      <c r="D813" s="1"/>
      <c r="E813" s="1"/>
      <c r="F813" s="1"/>
      <c r="G813" s="1"/>
      <c r="H813" s="1"/>
      <c r="I813" s="1"/>
      <c r="J813" s="1"/>
      <c r="K813" s="1"/>
    </row>
    <row r="814" spans="1:11">
      <c r="A814" s="1"/>
      <c r="B814" s="1"/>
      <c r="C814" s="1"/>
      <c r="D814" s="1"/>
      <c r="E814" s="1"/>
      <c r="F814" s="1"/>
      <c r="G814" s="1"/>
      <c r="H814" s="1"/>
      <c r="I814" s="1"/>
      <c r="J814" s="1"/>
      <c r="K814" s="1"/>
    </row>
    <row r="815" spans="1:11">
      <c r="A815" s="1"/>
      <c r="B815" s="1"/>
      <c r="C815" s="1"/>
      <c r="D815" s="1"/>
      <c r="E815" s="1"/>
      <c r="F815" s="1"/>
      <c r="G815" s="1"/>
      <c r="H815" s="1"/>
      <c r="I815" s="1"/>
      <c r="J815" s="1"/>
      <c r="K815" s="1"/>
    </row>
    <row r="816" spans="1:11">
      <c r="A816" s="1"/>
      <c r="B816" s="1"/>
      <c r="C816" s="1"/>
      <c r="D816" s="1"/>
      <c r="E816" s="1"/>
      <c r="F816" s="1"/>
      <c r="G816" s="1"/>
      <c r="H816" s="1"/>
      <c r="I816" s="1"/>
      <c r="J816" s="1"/>
      <c r="K816" s="1"/>
    </row>
    <row r="817" spans="1:11">
      <c r="A817" s="1"/>
      <c r="B817" s="1"/>
      <c r="C817" s="1"/>
      <c r="D817" s="1"/>
      <c r="E817" s="1"/>
      <c r="F817" s="1"/>
      <c r="G817" s="1"/>
      <c r="H817" s="1"/>
      <c r="I817" s="1"/>
      <c r="J817" s="1"/>
      <c r="K817" s="1"/>
    </row>
    <row r="818" spans="1:11">
      <c r="A818" s="1"/>
      <c r="B818" s="1"/>
      <c r="C818" s="1"/>
      <c r="D818" s="1"/>
      <c r="E818" s="1"/>
      <c r="F818" s="1"/>
      <c r="G818" s="1"/>
      <c r="H818" s="1"/>
      <c r="I818" s="1"/>
      <c r="J818" s="1"/>
      <c r="K818" s="1"/>
    </row>
    <row r="819" spans="1:11">
      <c r="A819" s="1"/>
      <c r="B819" s="1"/>
      <c r="C819" s="1"/>
      <c r="D819" s="1"/>
      <c r="E819" s="1"/>
      <c r="F819" s="1"/>
      <c r="G819" s="1"/>
      <c r="H819" s="1"/>
      <c r="I819" s="1"/>
      <c r="J819" s="1"/>
      <c r="K819" s="1"/>
    </row>
    <row r="820" spans="1:11">
      <c r="A820" s="1"/>
      <c r="B820" s="1"/>
      <c r="C820" s="1"/>
      <c r="D820" s="1"/>
      <c r="E820" s="1"/>
      <c r="F820" s="1"/>
      <c r="G820" s="1"/>
      <c r="H820" s="1"/>
      <c r="I820" s="1"/>
      <c r="J820" s="1"/>
      <c r="K820" s="1"/>
    </row>
    <row r="821" spans="1:11">
      <c r="A821" s="1"/>
      <c r="B821" s="1"/>
      <c r="C821" s="1"/>
      <c r="D821" s="1"/>
      <c r="E821" s="1"/>
      <c r="F821" s="1"/>
      <c r="G821" s="1"/>
      <c r="H821" s="1"/>
      <c r="I821" s="1"/>
      <c r="J821" s="1"/>
      <c r="K821" s="1"/>
    </row>
    <row r="822" spans="1:11">
      <c r="A822" s="1"/>
      <c r="B822" s="1"/>
      <c r="C822" s="1"/>
      <c r="D822" s="1"/>
      <c r="E822" s="1"/>
      <c r="F822" s="1"/>
      <c r="G822" s="1"/>
      <c r="H822" s="1"/>
      <c r="I822" s="1"/>
      <c r="J822" s="1"/>
      <c r="K822" s="1"/>
    </row>
    <row r="823" spans="1:11">
      <c r="A823" s="1"/>
      <c r="B823" s="1"/>
      <c r="C823" s="1"/>
      <c r="D823" s="1"/>
      <c r="E823" s="1"/>
      <c r="F823" s="1"/>
      <c r="G823" s="1"/>
      <c r="H823" s="1"/>
      <c r="I823" s="1"/>
      <c r="J823" s="1"/>
      <c r="K823" s="1"/>
    </row>
    <row r="824" spans="1:11">
      <c r="A824" s="1"/>
      <c r="B824" s="1"/>
      <c r="C824" s="1"/>
      <c r="D824" s="1"/>
      <c r="E824" s="1"/>
      <c r="F824" s="1"/>
      <c r="G824" s="1"/>
      <c r="H824" s="1"/>
      <c r="I824" s="1"/>
      <c r="J824" s="1"/>
      <c r="K824" s="1"/>
    </row>
    <row r="825" spans="1:11">
      <c r="A825" s="1"/>
      <c r="B825" s="1"/>
      <c r="C825" s="1"/>
      <c r="D825" s="1"/>
      <c r="E825" s="1"/>
      <c r="F825" s="1"/>
      <c r="G825" s="1"/>
      <c r="H825" s="1"/>
      <c r="I825" s="1"/>
      <c r="J825" s="1"/>
      <c r="K825" s="1"/>
    </row>
    <row r="826" spans="1:11">
      <c r="A826" s="1"/>
      <c r="B826" s="1"/>
      <c r="C826" s="1"/>
      <c r="D826" s="1"/>
      <c r="E826" s="1"/>
      <c r="F826" s="1"/>
      <c r="G826" s="1"/>
      <c r="H826" s="1"/>
      <c r="I826" s="1"/>
      <c r="J826" s="1"/>
      <c r="K826" s="1"/>
    </row>
    <row r="827" spans="1:11">
      <c r="A827" s="1"/>
      <c r="B827" s="1"/>
      <c r="C827" s="1"/>
      <c r="D827" s="1"/>
      <c r="E827" s="1"/>
      <c r="F827" s="1"/>
      <c r="G827" s="1"/>
      <c r="H827" s="1"/>
      <c r="I827" s="1"/>
      <c r="J827" s="1"/>
      <c r="K827" s="1"/>
    </row>
    <row r="828" spans="1:11">
      <c r="A828" s="1"/>
      <c r="B828" s="1"/>
      <c r="C828" s="1"/>
      <c r="D828" s="1"/>
      <c r="E828" s="1"/>
      <c r="F828" s="1"/>
      <c r="G828" s="1"/>
      <c r="H828" s="1"/>
      <c r="I828" s="1"/>
      <c r="J828" s="1"/>
      <c r="K828" s="1"/>
    </row>
    <row r="829" spans="1:11">
      <c r="A829" s="1"/>
      <c r="B829" s="1"/>
      <c r="C829" s="1"/>
      <c r="D829" s="1"/>
      <c r="E829" s="1"/>
      <c r="F829" s="1"/>
      <c r="G829" s="1"/>
      <c r="H829" s="1"/>
      <c r="I829" s="1"/>
      <c r="J829" s="1"/>
      <c r="K829" s="1"/>
    </row>
    <row r="830" spans="1:11">
      <c r="A830" s="1"/>
      <c r="B830" s="1"/>
      <c r="C830" s="1"/>
      <c r="D830" s="1"/>
      <c r="E830" s="1"/>
      <c r="F830" s="1"/>
      <c r="G830" s="1"/>
      <c r="H830" s="1"/>
      <c r="I830" s="1"/>
      <c r="J830" s="1"/>
      <c r="K830" s="1"/>
    </row>
    <row r="831" spans="1:11">
      <c r="A831" s="1"/>
      <c r="B831" s="1"/>
      <c r="C831" s="1"/>
      <c r="D831" s="1"/>
      <c r="E831" s="1"/>
      <c r="F831" s="1"/>
      <c r="G831" s="1"/>
      <c r="H831" s="1"/>
      <c r="I831" s="1"/>
      <c r="J831" s="1"/>
      <c r="K831" s="1"/>
    </row>
    <row r="832" spans="1:11">
      <c r="A832" s="1"/>
      <c r="B832" s="1"/>
      <c r="C832" s="1"/>
      <c r="D832" s="1"/>
      <c r="E832" s="1"/>
      <c r="F832" s="1"/>
      <c r="G832" s="1"/>
      <c r="H832" s="1"/>
      <c r="I832" s="1"/>
      <c r="J832" s="1"/>
      <c r="K832" s="1"/>
    </row>
    <row r="833" spans="1:11">
      <c r="A833" s="1"/>
      <c r="B833" s="1"/>
      <c r="C833" s="1"/>
      <c r="D833" s="1"/>
      <c r="E833" s="1"/>
      <c r="F833" s="1"/>
      <c r="G833" s="1"/>
      <c r="H833" s="1"/>
      <c r="I833" s="1"/>
      <c r="J833" s="1"/>
      <c r="K833" s="1"/>
    </row>
    <row r="834" spans="1:11">
      <c r="A834" s="1"/>
      <c r="B834" s="1"/>
      <c r="C834" s="1"/>
      <c r="D834" s="1"/>
      <c r="E834" s="1"/>
      <c r="F834" s="1"/>
      <c r="G834" s="1"/>
      <c r="H834" s="1"/>
      <c r="I834" s="1"/>
      <c r="J834" s="1"/>
      <c r="K834" s="1"/>
    </row>
    <row r="835" spans="1:11">
      <c r="A835" s="1"/>
      <c r="B835" s="1"/>
      <c r="C835" s="1"/>
      <c r="D835" s="1"/>
      <c r="E835" s="1"/>
      <c r="F835" s="1"/>
      <c r="G835" s="1"/>
      <c r="H835" s="1"/>
      <c r="I835" s="1"/>
      <c r="J835" s="1"/>
      <c r="K835" s="1"/>
    </row>
    <row r="836" spans="1:11">
      <c r="A836" s="1"/>
      <c r="B836" s="1"/>
      <c r="C836" s="1"/>
      <c r="D836" s="1"/>
      <c r="E836" s="1"/>
      <c r="F836" s="1"/>
      <c r="G836" s="1"/>
      <c r="H836" s="1"/>
      <c r="I836" s="1"/>
      <c r="J836" s="1"/>
      <c r="K836" s="1"/>
    </row>
    <row r="837" spans="1:11">
      <c r="A837" s="1"/>
      <c r="B837" s="1"/>
      <c r="C837" s="1"/>
      <c r="D837" s="1"/>
      <c r="E837" s="1"/>
      <c r="F837" s="1"/>
      <c r="G837" s="1"/>
      <c r="H837" s="1"/>
      <c r="I837" s="1"/>
      <c r="J837" s="1"/>
      <c r="K837" s="1"/>
    </row>
    <row r="838" spans="1:11">
      <c r="A838" s="1"/>
      <c r="B838" s="1"/>
      <c r="C838" s="1"/>
      <c r="D838" s="1"/>
      <c r="E838" s="1"/>
      <c r="F838" s="1"/>
      <c r="G838" s="1"/>
      <c r="H838" s="1"/>
      <c r="I838" s="1"/>
      <c r="J838" s="1"/>
      <c r="K838" s="1"/>
    </row>
    <row r="839" spans="1:11">
      <c r="A839" s="1"/>
      <c r="B839" s="1"/>
      <c r="C839" s="1"/>
      <c r="D839" s="1"/>
      <c r="E839" s="1"/>
      <c r="F839" s="1"/>
      <c r="G839" s="1"/>
      <c r="H839" s="1"/>
      <c r="I839" s="1"/>
      <c r="J839" s="1"/>
      <c r="K839" s="1"/>
    </row>
    <row r="840" spans="1:11">
      <c r="A840" s="1"/>
      <c r="B840" s="1"/>
      <c r="C840" s="1"/>
      <c r="D840" s="1"/>
      <c r="E840" s="1"/>
      <c r="F840" s="1"/>
      <c r="G840" s="1"/>
      <c r="H840" s="1"/>
      <c r="I840" s="1"/>
      <c r="J840" s="1"/>
      <c r="K840" s="1"/>
    </row>
    <row r="841" spans="1:11">
      <c r="A841" s="1"/>
      <c r="B841" s="1"/>
      <c r="C841" s="1"/>
      <c r="D841" s="1"/>
      <c r="E841" s="1"/>
      <c r="F841" s="1"/>
      <c r="G841" s="1"/>
      <c r="H841" s="1"/>
      <c r="I841" s="1"/>
      <c r="J841" s="1"/>
      <c r="K841" s="1"/>
    </row>
    <row r="842" spans="1:11">
      <c r="A842" s="1"/>
      <c r="B842" s="1"/>
      <c r="C842" s="1"/>
      <c r="D842" s="1"/>
      <c r="E842" s="1"/>
      <c r="F842" s="1"/>
      <c r="G842" s="1"/>
      <c r="H842" s="1"/>
      <c r="I842" s="1"/>
      <c r="J842" s="1"/>
      <c r="K842" s="1"/>
    </row>
    <row r="843" spans="1:11">
      <c r="A843" s="1"/>
      <c r="B843" s="1"/>
      <c r="C843" s="1"/>
      <c r="D843" s="1"/>
      <c r="E843" s="1"/>
      <c r="F843" s="1"/>
      <c r="G843" s="1"/>
      <c r="H843" s="1"/>
      <c r="I843" s="1"/>
      <c r="J843" s="1"/>
      <c r="K843" s="1"/>
    </row>
    <row r="844" spans="1:11">
      <c r="A844" s="1"/>
      <c r="B844" s="1"/>
      <c r="C844" s="1"/>
      <c r="D844" s="1"/>
      <c r="E844" s="1"/>
      <c r="F844" s="1"/>
      <c r="G844" s="1"/>
      <c r="H844" s="1"/>
      <c r="I844" s="1"/>
      <c r="J844" s="1"/>
      <c r="K844" s="1"/>
    </row>
    <row r="845" spans="1:11">
      <c r="A845" s="1"/>
      <c r="B845" s="1"/>
      <c r="C845" s="1"/>
      <c r="D845" s="1"/>
      <c r="E845" s="1"/>
      <c r="F845" s="1"/>
      <c r="G845" s="1"/>
      <c r="H845" s="1"/>
      <c r="I845" s="1"/>
      <c r="J845" s="1"/>
      <c r="K845" s="1"/>
    </row>
    <row r="846" spans="1:11">
      <c r="A846" s="1"/>
      <c r="B846" s="1"/>
      <c r="C846" s="1"/>
      <c r="D846" s="1"/>
      <c r="E846" s="1"/>
      <c r="F846" s="1"/>
      <c r="G846" s="1"/>
      <c r="H846" s="1"/>
      <c r="I846" s="1"/>
      <c r="J846" s="1"/>
      <c r="K846" s="1"/>
    </row>
    <row r="847" spans="1:11">
      <c r="A847" s="1"/>
      <c r="B847" s="1"/>
      <c r="C847" s="1"/>
      <c r="D847" s="1"/>
      <c r="E847" s="1"/>
      <c r="F847" s="1"/>
      <c r="G847" s="1"/>
      <c r="H847" s="1"/>
      <c r="I847" s="1"/>
      <c r="J847" s="1"/>
      <c r="K847" s="1"/>
    </row>
    <row r="848" spans="1:11">
      <c r="A848" s="1"/>
      <c r="B848" s="1"/>
      <c r="C848" s="1"/>
      <c r="D848" s="1"/>
      <c r="E848" s="1"/>
      <c r="F848" s="1"/>
      <c r="G848" s="1"/>
      <c r="H848" s="1"/>
      <c r="I848" s="1"/>
      <c r="J848" s="1"/>
      <c r="K848" s="1"/>
    </row>
    <row r="849" spans="1:11">
      <c r="A849" s="1"/>
      <c r="B849" s="1"/>
      <c r="C849" s="1"/>
      <c r="D849" s="1"/>
      <c r="E849" s="1"/>
      <c r="F849" s="1"/>
      <c r="G849" s="1"/>
      <c r="H849" s="1"/>
      <c r="I849" s="1"/>
      <c r="J849" s="1"/>
      <c r="K849" s="1"/>
    </row>
    <row r="850" spans="1:11">
      <c r="A850" s="1"/>
      <c r="B850" s="1"/>
      <c r="C850" s="1"/>
      <c r="D850" s="1"/>
      <c r="E850" s="1"/>
      <c r="F850" s="1"/>
      <c r="G850" s="1"/>
      <c r="H850" s="1"/>
      <c r="I850" s="1"/>
      <c r="J850" s="1"/>
      <c r="K850" s="1"/>
    </row>
    <row r="851" spans="1:11">
      <c r="A851" s="1"/>
      <c r="B851" s="1"/>
      <c r="C851" s="1"/>
      <c r="D851" s="1"/>
      <c r="E851" s="1"/>
      <c r="F851" s="1"/>
      <c r="G851" s="1"/>
      <c r="H851" s="1"/>
      <c r="I851" s="1"/>
      <c r="J851" s="1"/>
      <c r="K851" s="1"/>
    </row>
    <row r="852" spans="1:11">
      <c r="A852" s="1"/>
      <c r="B852" s="1"/>
      <c r="C852" s="1"/>
      <c r="D852" s="1"/>
      <c r="E852" s="1"/>
      <c r="F852" s="1"/>
      <c r="G852" s="1"/>
      <c r="H852" s="1"/>
      <c r="I852" s="1"/>
      <c r="J852" s="1"/>
      <c r="K852" s="1"/>
    </row>
    <row r="853" spans="1:11">
      <c r="A853" s="1"/>
      <c r="B853" s="1"/>
      <c r="C853" s="1"/>
      <c r="D853" s="1"/>
      <c r="E853" s="1"/>
      <c r="F853" s="1"/>
      <c r="G853" s="1"/>
      <c r="H853" s="1"/>
      <c r="I853" s="1"/>
      <c r="J853" s="1"/>
      <c r="K853" s="1"/>
    </row>
    <row r="854" spans="1:11">
      <c r="A854" s="1"/>
      <c r="B854" s="1"/>
      <c r="C854" s="1"/>
      <c r="D854" s="1"/>
      <c r="E854" s="1"/>
      <c r="F854" s="1"/>
      <c r="G854" s="1"/>
      <c r="H854" s="1"/>
      <c r="I854" s="1"/>
      <c r="J854" s="1"/>
      <c r="K854" s="1"/>
    </row>
    <row r="855" spans="1:11">
      <c r="A855" s="1"/>
      <c r="B855" s="1"/>
      <c r="C855" s="1"/>
      <c r="D855" s="1"/>
      <c r="E855" s="1"/>
      <c r="F855" s="1"/>
      <c r="G855" s="1"/>
      <c r="H855" s="1"/>
      <c r="I855" s="1"/>
      <c r="J855" s="1"/>
      <c r="K855" s="1"/>
    </row>
    <row r="856" spans="1:11">
      <c r="A856" s="1"/>
      <c r="B856" s="1"/>
      <c r="C856" s="1"/>
      <c r="D856" s="1"/>
      <c r="E856" s="1"/>
      <c r="F856" s="1"/>
      <c r="G856" s="1"/>
      <c r="H856" s="1"/>
      <c r="I856" s="1"/>
      <c r="J856" s="1"/>
      <c r="K856" s="1"/>
    </row>
    <row r="857" spans="1:11">
      <c r="A857" s="1"/>
      <c r="B857" s="1"/>
      <c r="C857" s="1"/>
      <c r="D857" s="1"/>
      <c r="E857" s="1"/>
      <c r="F857" s="1"/>
      <c r="G857" s="1"/>
      <c r="H857" s="1"/>
      <c r="I857" s="1"/>
      <c r="J857" s="1"/>
      <c r="K857" s="1"/>
    </row>
    <row r="858" spans="1:11">
      <c r="A858" s="1"/>
      <c r="B858" s="1"/>
      <c r="C858" s="1"/>
      <c r="D858" s="1"/>
      <c r="E858" s="1"/>
      <c r="F858" s="1"/>
      <c r="G858" s="1"/>
      <c r="H858" s="1"/>
      <c r="I858" s="1"/>
      <c r="J858" s="1"/>
      <c r="K858" s="1"/>
    </row>
    <row r="859" spans="1:11">
      <c r="A859" s="1"/>
      <c r="B859" s="1"/>
      <c r="C859" s="1"/>
      <c r="D859" s="1"/>
      <c r="E859" s="1"/>
      <c r="F859" s="1"/>
      <c r="G859" s="1"/>
      <c r="H859" s="1"/>
      <c r="I859" s="1"/>
      <c r="J859" s="1"/>
      <c r="K859" s="1"/>
    </row>
    <row r="860" spans="1:11">
      <c r="A860" s="1"/>
      <c r="B860" s="1"/>
      <c r="C860" s="1"/>
      <c r="D860" s="1"/>
      <c r="E860" s="1"/>
      <c r="F860" s="1"/>
      <c r="G860" s="1"/>
      <c r="H860" s="1"/>
      <c r="I860" s="1"/>
      <c r="J860" s="1"/>
      <c r="K860" s="1"/>
    </row>
    <row r="861" spans="1:11">
      <c r="A861" s="1"/>
      <c r="B861" s="1"/>
      <c r="C861" s="1"/>
      <c r="D861" s="1"/>
      <c r="E861" s="1"/>
      <c r="F861" s="1"/>
      <c r="G861" s="1"/>
      <c r="H861" s="1"/>
      <c r="I861" s="1"/>
      <c r="J861" s="1"/>
      <c r="K861" s="1"/>
    </row>
    <row r="862" spans="1:11">
      <c r="A862" s="1"/>
      <c r="B862" s="1"/>
      <c r="C862" s="1"/>
      <c r="D862" s="1"/>
      <c r="E862" s="1"/>
      <c r="F862" s="1"/>
      <c r="G862" s="1"/>
      <c r="H862" s="1"/>
      <c r="I862" s="1"/>
      <c r="J862" s="1"/>
      <c r="K862" s="1"/>
    </row>
    <row r="863" spans="1:11">
      <c r="A863" s="1"/>
      <c r="B863" s="1"/>
      <c r="C863" s="1"/>
      <c r="D863" s="1"/>
      <c r="E863" s="1"/>
      <c r="F863" s="1"/>
      <c r="G863" s="1"/>
      <c r="H863" s="1"/>
      <c r="I863" s="1"/>
      <c r="J863" s="1"/>
      <c r="K863" s="1"/>
    </row>
    <row r="864" spans="1:11">
      <c r="A864" s="1"/>
      <c r="B864" s="1"/>
      <c r="C864" s="1"/>
      <c r="D864" s="1"/>
      <c r="E864" s="1"/>
      <c r="F864" s="1"/>
      <c r="G864" s="1"/>
      <c r="H864" s="1"/>
      <c r="I864" s="1"/>
      <c r="J864" s="1"/>
      <c r="K864" s="1"/>
    </row>
    <row r="865" spans="1:11">
      <c r="A865" s="1"/>
      <c r="B865" s="1"/>
      <c r="C865" s="1"/>
      <c r="D865" s="1"/>
      <c r="E865" s="1"/>
      <c r="F865" s="1"/>
      <c r="G865" s="1"/>
      <c r="H865" s="1"/>
      <c r="I865" s="1"/>
      <c r="J865" s="1"/>
      <c r="K865" s="1"/>
    </row>
    <row r="866" spans="1:11">
      <c r="A866" s="1"/>
      <c r="B866" s="1"/>
      <c r="C866" s="1"/>
      <c r="D866" s="1"/>
      <c r="E866" s="1"/>
      <c r="F866" s="1"/>
      <c r="G866" s="1"/>
      <c r="H866" s="1"/>
      <c r="I866" s="1"/>
      <c r="J866" s="1"/>
      <c r="K866" s="1"/>
    </row>
    <row r="867" spans="1:11">
      <c r="A867" s="1"/>
      <c r="B867" s="1"/>
      <c r="C867" s="1"/>
      <c r="D867" s="1"/>
      <c r="E867" s="1"/>
      <c r="F867" s="1"/>
      <c r="G867" s="1"/>
      <c r="H867" s="1"/>
      <c r="I867" s="1"/>
      <c r="J867" s="1"/>
      <c r="K867" s="1"/>
    </row>
    <row r="868" spans="1:11">
      <c r="A868" s="1"/>
      <c r="B868" s="1"/>
      <c r="C868" s="1"/>
      <c r="D868" s="1"/>
      <c r="E868" s="1"/>
      <c r="F868" s="1"/>
      <c r="G868" s="1"/>
      <c r="H868" s="1"/>
      <c r="I868" s="1"/>
      <c r="J868" s="1"/>
      <c r="K868" s="1"/>
    </row>
    <row r="869" spans="1:11">
      <c r="A869" s="1"/>
      <c r="B869" s="1"/>
      <c r="C869" s="1"/>
      <c r="D869" s="1"/>
      <c r="E869" s="1"/>
      <c r="F869" s="1"/>
      <c r="G869" s="1"/>
      <c r="H869" s="1"/>
      <c r="I869" s="1"/>
      <c r="J869" s="1"/>
      <c r="K869" s="1"/>
    </row>
    <row r="870" spans="1:11">
      <c r="A870" s="1"/>
      <c r="B870" s="1"/>
      <c r="C870" s="1"/>
      <c r="D870" s="1"/>
      <c r="E870" s="1"/>
      <c r="F870" s="1"/>
      <c r="G870" s="1"/>
      <c r="H870" s="1"/>
      <c r="I870" s="1"/>
      <c r="J870" s="1"/>
      <c r="K870" s="1"/>
    </row>
    <row r="871" spans="1:11">
      <c r="A871" s="1"/>
      <c r="B871" s="1"/>
      <c r="C871" s="1"/>
      <c r="D871" s="1"/>
      <c r="E871" s="1"/>
      <c r="F871" s="1"/>
      <c r="G871" s="1"/>
      <c r="H871" s="1"/>
      <c r="I871" s="1"/>
      <c r="J871" s="1"/>
      <c r="K871" s="1"/>
    </row>
    <row r="872" spans="1:11">
      <c r="A872" s="1"/>
      <c r="B872" s="1"/>
      <c r="C872" s="1"/>
      <c r="D872" s="1"/>
      <c r="E872" s="1"/>
      <c r="F872" s="1"/>
      <c r="G872" s="1"/>
      <c r="H872" s="1"/>
      <c r="I872" s="1"/>
      <c r="J872" s="1"/>
      <c r="K872" s="1"/>
    </row>
    <row r="873" spans="1:11">
      <c r="A873" s="1"/>
      <c r="B873" s="1"/>
      <c r="C873" s="1"/>
      <c r="D873" s="1"/>
      <c r="E873" s="1"/>
      <c r="F873" s="1"/>
      <c r="G873" s="1"/>
      <c r="H873" s="1"/>
      <c r="I873" s="1"/>
      <c r="J873" s="1"/>
      <c r="K873" s="1"/>
    </row>
    <row r="874" spans="1:11">
      <c r="A874" s="1"/>
      <c r="B874" s="1"/>
      <c r="C874" s="1"/>
      <c r="D874" s="1"/>
      <c r="E874" s="1"/>
      <c r="F874" s="1"/>
      <c r="G874" s="1"/>
      <c r="H874" s="1"/>
      <c r="I874" s="1"/>
      <c r="J874" s="1"/>
      <c r="K874" s="1"/>
    </row>
    <row r="875" spans="1:11">
      <c r="A875" s="1"/>
      <c r="B875" s="1"/>
      <c r="C875" s="1"/>
      <c r="D875" s="1"/>
      <c r="E875" s="1"/>
      <c r="F875" s="1"/>
      <c r="G875" s="1"/>
      <c r="H875" s="1"/>
      <c r="I875" s="1"/>
      <c r="J875" s="1"/>
      <c r="K875" s="1"/>
    </row>
    <row r="876" spans="1:11">
      <c r="A876" s="1"/>
      <c r="B876" s="1"/>
      <c r="C876" s="1"/>
      <c r="D876" s="1"/>
      <c r="E876" s="1"/>
      <c r="F876" s="1"/>
      <c r="G876" s="1"/>
      <c r="H876" s="1"/>
      <c r="I876" s="1"/>
      <c r="J876" s="1"/>
      <c r="K876" s="1"/>
    </row>
    <row r="877" spans="1:11">
      <c r="A877" s="1"/>
      <c r="B877" s="1"/>
      <c r="C877" s="1"/>
      <c r="D877" s="1"/>
      <c r="E877" s="1"/>
      <c r="F877" s="1"/>
      <c r="G877" s="1"/>
      <c r="H877" s="1"/>
      <c r="I877" s="1"/>
      <c r="J877" s="1"/>
      <c r="K877" s="1"/>
    </row>
    <row r="878" spans="1:11">
      <c r="A878" s="1"/>
      <c r="B878" s="1"/>
      <c r="C878" s="1"/>
      <c r="D878" s="1"/>
      <c r="E878" s="1"/>
      <c r="F878" s="1"/>
      <c r="G878" s="1"/>
      <c r="H878" s="1"/>
      <c r="I878" s="1"/>
      <c r="J878" s="1"/>
      <c r="K878" s="1"/>
    </row>
    <row r="879" spans="1:11">
      <c r="A879" s="1"/>
      <c r="B879" s="1"/>
      <c r="C879" s="1"/>
      <c r="D879" s="1"/>
      <c r="E879" s="1"/>
      <c r="F879" s="1"/>
      <c r="G879" s="1"/>
      <c r="H879" s="1"/>
      <c r="I879" s="1"/>
      <c r="J879" s="1"/>
      <c r="K879" s="1"/>
    </row>
    <row r="880" spans="1:11">
      <c r="A880" s="1"/>
      <c r="B880" s="1"/>
      <c r="C880" s="1"/>
      <c r="D880" s="1"/>
      <c r="E880" s="1"/>
      <c r="F880" s="1"/>
      <c r="G880" s="1"/>
      <c r="H880" s="1"/>
      <c r="I880" s="1"/>
      <c r="J880" s="1"/>
      <c r="K880" s="1"/>
    </row>
    <row r="881" spans="1:11">
      <c r="A881" s="1"/>
      <c r="B881" s="1"/>
      <c r="C881" s="1"/>
      <c r="D881" s="1"/>
      <c r="E881" s="1"/>
      <c r="F881" s="1"/>
      <c r="G881" s="1"/>
      <c r="H881" s="1"/>
      <c r="I881" s="1"/>
      <c r="J881" s="1"/>
      <c r="K881" s="1"/>
    </row>
    <row r="882" spans="1:11">
      <c r="A882" s="1"/>
      <c r="B882" s="1"/>
      <c r="C882" s="1"/>
      <c r="D882" s="1"/>
      <c r="E882" s="1"/>
      <c r="F882" s="1"/>
      <c r="G882" s="1"/>
      <c r="H882" s="1"/>
      <c r="I882" s="1"/>
      <c r="J882" s="1"/>
      <c r="K882" s="1"/>
    </row>
    <row r="883" spans="1:11">
      <c r="A883" s="1"/>
      <c r="B883" s="1"/>
      <c r="C883" s="1"/>
      <c r="D883" s="1"/>
      <c r="E883" s="1"/>
      <c r="F883" s="1"/>
      <c r="G883" s="1"/>
      <c r="H883" s="1"/>
      <c r="I883" s="1"/>
      <c r="J883" s="1"/>
      <c r="K883" s="1"/>
    </row>
    <row r="884" spans="1:11">
      <c r="A884" s="1"/>
      <c r="B884" s="1"/>
      <c r="C884" s="1"/>
      <c r="D884" s="1"/>
      <c r="E884" s="1"/>
      <c r="F884" s="1"/>
      <c r="G884" s="1"/>
      <c r="H884" s="1"/>
      <c r="I884" s="1"/>
      <c r="J884" s="1"/>
      <c r="K884" s="1"/>
    </row>
    <row r="885" spans="1:11">
      <c r="A885" s="1"/>
      <c r="B885" s="1"/>
      <c r="C885" s="1"/>
      <c r="D885" s="1"/>
      <c r="E885" s="1"/>
      <c r="F885" s="1"/>
      <c r="G885" s="1"/>
      <c r="H885" s="1"/>
      <c r="I885" s="1"/>
      <c r="J885" s="1"/>
      <c r="K885" s="1"/>
    </row>
    <row r="886" spans="1:11">
      <c r="A886" s="1"/>
      <c r="B886" s="1"/>
      <c r="C886" s="1"/>
      <c r="D886" s="1"/>
      <c r="E886" s="1"/>
      <c r="F886" s="1"/>
      <c r="G886" s="1"/>
      <c r="H886" s="1"/>
      <c r="I886" s="1"/>
      <c r="J886" s="1"/>
      <c r="K886" s="1"/>
    </row>
    <row r="887" spans="1:11">
      <c r="A887" s="1"/>
      <c r="B887" s="1"/>
      <c r="C887" s="1"/>
      <c r="D887" s="1"/>
      <c r="E887" s="1"/>
      <c r="F887" s="1"/>
      <c r="G887" s="1"/>
      <c r="H887" s="1"/>
      <c r="I887" s="1"/>
      <c r="J887" s="1"/>
      <c r="K887" s="1"/>
    </row>
    <row r="888" spans="1:11">
      <c r="A888" s="1"/>
      <c r="B888" s="1"/>
      <c r="C888" s="1"/>
      <c r="D888" s="1"/>
      <c r="E888" s="1"/>
      <c r="F888" s="1"/>
      <c r="G888" s="1"/>
      <c r="H888" s="1"/>
      <c r="I888" s="1"/>
      <c r="J888" s="1"/>
      <c r="K888" s="1"/>
    </row>
    <row r="889" spans="1:11">
      <c r="A889" s="1"/>
      <c r="B889" s="1"/>
      <c r="C889" s="1"/>
      <c r="D889" s="1"/>
      <c r="E889" s="1"/>
      <c r="F889" s="1"/>
      <c r="G889" s="1"/>
      <c r="H889" s="1"/>
      <c r="I889" s="1"/>
      <c r="J889" s="1"/>
      <c r="K889" s="1"/>
    </row>
    <row r="890" spans="1:11">
      <c r="A890" s="1"/>
      <c r="B890" s="1"/>
      <c r="C890" s="1"/>
      <c r="D890" s="1"/>
      <c r="E890" s="1"/>
      <c r="F890" s="1"/>
      <c r="G890" s="1"/>
      <c r="H890" s="1"/>
      <c r="I890" s="1"/>
      <c r="J890" s="1"/>
      <c r="K890" s="1"/>
    </row>
    <row r="891" spans="1:11">
      <c r="A891" s="1"/>
      <c r="B891" s="1"/>
      <c r="C891" s="1"/>
      <c r="D891" s="1"/>
      <c r="E891" s="1"/>
      <c r="F891" s="1"/>
      <c r="G891" s="1"/>
      <c r="H891" s="1"/>
      <c r="I891" s="1"/>
      <c r="J891" s="1"/>
      <c r="K891" s="1"/>
    </row>
    <row r="892" spans="1:11">
      <c r="A892" s="1"/>
      <c r="B892" s="1"/>
      <c r="C892" s="1"/>
      <c r="D892" s="1"/>
      <c r="E892" s="1"/>
      <c r="F892" s="1"/>
      <c r="G892" s="1"/>
      <c r="H892" s="1"/>
      <c r="I892" s="1"/>
      <c r="J892" s="1"/>
      <c r="K892" s="1"/>
    </row>
    <row r="893" spans="1:11">
      <c r="A893" s="1"/>
      <c r="B893" s="1"/>
      <c r="C893" s="1"/>
      <c r="D893" s="1"/>
      <c r="E893" s="1"/>
      <c r="F893" s="1"/>
      <c r="G893" s="1"/>
      <c r="H893" s="1"/>
      <c r="I893" s="1"/>
      <c r="J893" s="1"/>
      <c r="K893" s="1"/>
    </row>
    <row r="894" spans="1:11">
      <c r="A894" s="1"/>
      <c r="B894" s="1"/>
      <c r="C894" s="1"/>
      <c r="D894" s="1"/>
      <c r="E894" s="1"/>
      <c r="F894" s="1"/>
      <c r="G894" s="1"/>
      <c r="H894" s="1"/>
      <c r="I894" s="1"/>
      <c r="J894" s="1"/>
      <c r="K894" s="1"/>
    </row>
    <row r="895" spans="1:11">
      <c r="A895" s="1"/>
      <c r="B895" s="1"/>
      <c r="C895" s="1"/>
      <c r="D895" s="1"/>
      <c r="E895" s="1"/>
      <c r="F895" s="1"/>
      <c r="G895" s="1"/>
      <c r="H895" s="1"/>
      <c r="I895" s="1"/>
      <c r="J895" s="1"/>
      <c r="K895" s="1"/>
    </row>
    <row r="896" spans="1:11">
      <c r="A896" s="1"/>
      <c r="B896" s="1"/>
      <c r="C896" s="1"/>
      <c r="D896" s="1"/>
      <c r="E896" s="1"/>
      <c r="F896" s="1"/>
      <c r="G896" s="1"/>
      <c r="H896" s="1"/>
      <c r="I896" s="1"/>
      <c r="J896" s="1"/>
      <c r="K896" s="1"/>
    </row>
    <row r="897" spans="1:11">
      <c r="A897" s="1"/>
      <c r="B897" s="1"/>
      <c r="C897" s="1"/>
      <c r="D897" s="1"/>
      <c r="E897" s="1"/>
      <c r="F897" s="1"/>
      <c r="G897" s="1"/>
      <c r="H897" s="1"/>
      <c r="I897" s="1"/>
      <c r="J897" s="1"/>
      <c r="K897" s="1"/>
    </row>
    <row r="898" spans="1:11">
      <c r="A898" s="1"/>
      <c r="B898" s="1"/>
      <c r="C898" s="1"/>
      <c r="D898" s="1"/>
      <c r="E898" s="1"/>
      <c r="F898" s="1"/>
      <c r="G898" s="1"/>
      <c r="H898" s="1"/>
      <c r="I898" s="1"/>
      <c r="J898" s="1"/>
      <c r="K898" s="1"/>
    </row>
    <row r="899" spans="1:11">
      <c r="A899" s="1"/>
      <c r="B899" s="1"/>
      <c r="C899" s="1"/>
      <c r="D899" s="1"/>
      <c r="E899" s="1"/>
      <c r="F899" s="1"/>
      <c r="G899" s="1"/>
      <c r="H899" s="1"/>
      <c r="I899" s="1"/>
      <c r="J899" s="1"/>
      <c r="K899" s="1"/>
    </row>
    <row r="900" spans="1:11">
      <c r="A900" s="1"/>
      <c r="B900" s="1"/>
      <c r="C900" s="1"/>
      <c r="D900" s="1"/>
      <c r="E900" s="1"/>
      <c r="F900" s="1"/>
      <c r="G900" s="1"/>
      <c r="H900" s="1"/>
      <c r="I900" s="1"/>
      <c r="J900" s="1"/>
      <c r="K900" s="1"/>
    </row>
    <row r="901" spans="1:11">
      <c r="A901" s="1"/>
      <c r="B901" s="1"/>
      <c r="C901" s="1"/>
      <c r="D901" s="1"/>
      <c r="E901" s="1"/>
      <c r="F901" s="1"/>
      <c r="G901" s="1"/>
      <c r="H901" s="1"/>
      <c r="I901" s="1"/>
      <c r="J901" s="1"/>
      <c r="K901" s="1"/>
    </row>
    <row r="902" spans="1:11">
      <c r="A902" s="1"/>
      <c r="B902" s="1"/>
      <c r="C902" s="1"/>
      <c r="D902" s="1"/>
      <c r="E902" s="1"/>
      <c r="F902" s="1"/>
      <c r="G902" s="1"/>
      <c r="H902" s="1"/>
      <c r="I902" s="1"/>
      <c r="J902" s="1"/>
      <c r="K902" s="1"/>
    </row>
    <row r="903" spans="1:11">
      <c r="A903" s="1"/>
      <c r="B903" s="1"/>
      <c r="C903" s="1"/>
      <c r="D903" s="1"/>
      <c r="E903" s="1"/>
      <c r="F903" s="1"/>
      <c r="G903" s="1"/>
      <c r="H903" s="1"/>
      <c r="I903" s="1"/>
      <c r="J903" s="1"/>
      <c r="K903" s="1"/>
    </row>
    <row r="904" spans="1:11">
      <c r="A904" s="1"/>
      <c r="B904" s="1"/>
      <c r="C904" s="1"/>
      <c r="D904" s="1"/>
      <c r="E904" s="1"/>
      <c r="F904" s="1"/>
      <c r="G904" s="1"/>
      <c r="H904" s="1"/>
      <c r="I904" s="1"/>
      <c r="J904" s="1"/>
      <c r="K904" s="1"/>
    </row>
    <row r="905" spans="1:11">
      <c r="A905" s="1"/>
      <c r="B905" s="1"/>
      <c r="C905" s="1"/>
      <c r="D905" s="1"/>
      <c r="E905" s="1"/>
      <c r="F905" s="1"/>
      <c r="G905" s="1"/>
      <c r="H905" s="1"/>
      <c r="I905" s="1"/>
      <c r="J905" s="1"/>
      <c r="K905" s="1"/>
    </row>
    <row r="906" spans="1:11">
      <c r="A906" s="1"/>
      <c r="B906" s="1"/>
      <c r="C906" s="1"/>
      <c r="D906" s="1"/>
      <c r="E906" s="1"/>
      <c r="F906" s="1"/>
      <c r="G906" s="1"/>
      <c r="H906" s="1"/>
      <c r="I906" s="1"/>
      <c r="J906" s="1"/>
      <c r="K906" s="1"/>
    </row>
    <row r="907" spans="1:11">
      <c r="A907" s="1"/>
      <c r="B907" s="1"/>
      <c r="C907" s="1"/>
      <c r="D907" s="1"/>
      <c r="E907" s="1"/>
      <c r="F907" s="1"/>
      <c r="G907" s="1"/>
      <c r="H907" s="1"/>
      <c r="I907" s="1"/>
      <c r="J907" s="1"/>
      <c r="K907" s="1"/>
    </row>
    <row r="908" spans="1:11">
      <c r="A908" s="1"/>
      <c r="B908" s="1"/>
      <c r="C908" s="1"/>
      <c r="D908" s="1"/>
      <c r="E908" s="1"/>
      <c r="F908" s="1"/>
      <c r="G908" s="1"/>
      <c r="H908" s="1"/>
      <c r="I908" s="1"/>
      <c r="J908" s="1"/>
      <c r="K908" s="1"/>
    </row>
    <row r="909" spans="1:11">
      <c r="A909" s="1"/>
      <c r="B909" s="1"/>
      <c r="C909" s="1"/>
      <c r="D909" s="1"/>
      <c r="E909" s="1"/>
      <c r="F909" s="1"/>
      <c r="G909" s="1"/>
      <c r="H909" s="1"/>
      <c r="I909" s="1"/>
      <c r="J909" s="1"/>
      <c r="K909" s="1"/>
    </row>
    <row r="910" spans="1:11">
      <c r="A910" s="1"/>
      <c r="B910" s="1"/>
      <c r="C910" s="1"/>
      <c r="D910" s="1"/>
      <c r="E910" s="1"/>
      <c r="F910" s="1"/>
      <c r="G910" s="1"/>
      <c r="H910" s="1"/>
      <c r="I910" s="1"/>
      <c r="J910" s="1"/>
      <c r="K910" s="1"/>
    </row>
    <row r="911" spans="1:11">
      <c r="A911" s="1"/>
      <c r="B911" s="1"/>
      <c r="C911" s="1"/>
      <c r="D911" s="1"/>
      <c r="E911" s="1"/>
      <c r="F911" s="1"/>
      <c r="G911" s="1"/>
      <c r="H911" s="1"/>
      <c r="I911" s="1"/>
      <c r="J911" s="1"/>
      <c r="K911" s="1"/>
    </row>
    <row r="912" spans="1:11">
      <c r="A912" s="1"/>
      <c r="B912" s="1"/>
      <c r="C912" s="1"/>
      <c r="D912" s="1"/>
      <c r="E912" s="1"/>
      <c r="F912" s="1"/>
      <c r="G912" s="1"/>
      <c r="H912" s="1"/>
      <c r="I912" s="1"/>
      <c r="J912" s="1"/>
      <c r="K912" s="1"/>
    </row>
    <row r="913" spans="1:11">
      <c r="A913" s="1"/>
      <c r="B913" s="1"/>
      <c r="C913" s="1"/>
      <c r="D913" s="1"/>
      <c r="E913" s="1"/>
      <c r="F913" s="1"/>
      <c r="G913" s="1"/>
      <c r="H913" s="1"/>
      <c r="I913" s="1"/>
      <c r="J913" s="1"/>
      <c r="K913" s="1"/>
    </row>
    <row r="914" spans="1:11">
      <c r="A914" s="1"/>
      <c r="B914" s="1"/>
      <c r="C914" s="1"/>
      <c r="D914" s="1"/>
      <c r="E914" s="1"/>
      <c r="F914" s="1"/>
      <c r="G914" s="1"/>
      <c r="H914" s="1"/>
      <c r="I914" s="1"/>
      <c r="J914" s="1"/>
      <c r="K914" s="1"/>
    </row>
    <row r="915" spans="1:11">
      <c r="A915" s="1"/>
      <c r="B915" s="1"/>
      <c r="C915" s="1"/>
      <c r="D915" s="1"/>
      <c r="E915" s="1"/>
      <c r="F915" s="1"/>
      <c r="G915" s="1"/>
      <c r="H915" s="1"/>
      <c r="I915" s="1"/>
      <c r="J915" s="1"/>
      <c r="K915" s="1"/>
    </row>
    <row r="916" spans="1:11">
      <c r="A916" s="1"/>
      <c r="B916" s="1"/>
      <c r="C916" s="1"/>
      <c r="D916" s="1"/>
      <c r="E916" s="1"/>
      <c r="F916" s="1"/>
      <c r="G916" s="1"/>
      <c r="H916" s="1"/>
      <c r="I916" s="1"/>
      <c r="J916" s="1"/>
      <c r="K916" s="1"/>
    </row>
    <row r="917" spans="1:11">
      <c r="A917" s="1"/>
      <c r="B917" s="1"/>
      <c r="C917" s="1"/>
      <c r="D917" s="1"/>
      <c r="E917" s="1"/>
      <c r="F917" s="1"/>
      <c r="G917" s="1"/>
      <c r="H917" s="1"/>
      <c r="I917" s="1"/>
      <c r="J917" s="1"/>
      <c r="K917" s="1"/>
    </row>
    <row r="918" spans="1:11">
      <c r="A918" s="1"/>
      <c r="B918" s="1"/>
      <c r="C918" s="1"/>
      <c r="D918" s="1"/>
      <c r="E918" s="1"/>
      <c r="F918" s="1"/>
      <c r="G918" s="1"/>
      <c r="H918" s="1"/>
      <c r="I918" s="1"/>
      <c r="J918" s="1"/>
      <c r="K918" s="1"/>
    </row>
    <row r="919" spans="1:11">
      <c r="A919" s="1"/>
      <c r="B919" s="1"/>
      <c r="C919" s="1"/>
      <c r="D919" s="1"/>
      <c r="E919" s="1"/>
      <c r="F919" s="1"/>
      <c r="G919" s="1"/>
      <c r="H919" s="1"/>
      <c r="I919" s="1"/>
      <c r="J919" s="1"/>
      <c r="K919" s="1"/>
    </row>
    <row r="920" spans="1:11">
      <c r="A920" s="1"/>
      <c r="B920" s="1"/>
      <c r="C920" s="1"/>
      <c r="D920" s="1"/>
      <c r="E920" s="1"/>
      <c r="F920" s="1"/>
      <c r="G920" s="1"/>
      <c r="H920" s="1"/>
      <c r="I920" s="1"/>
      <c r="J920" s="1"/>
      <c r="K920" s="1"/>
    </row>
    <row r="921" spans="1:11">
      <c r="A921" s="1"/>
      <c r="B921" s="1"/>
      <c r="C921" s="1"/>
      <c r="D921" s="1"/>
      <c r="E921" s="1"/>
      <c r="F921" s="1"/>
      <c r="G921" s="1"/>
      <c r="H921" s="1"/>
      <c r="I921" s="1"/>
      <c r="J921" s="1"/>
      <c r="K921" s="1"/>
    </row>
    <row r="922" spans="1:11">
      <c r="A922" s="1"/>
      <c r="B922" s="1"/>
      <c r="C922" s="1"/>
      <c r="D922" s="1"/>
      <c r="E922" s="1"/>
      <c r="F922" s="1"/>
      <c r="G922" s="1"/>
      <c r="H922" s="1"/>
      <c r="I922" s="1"/>
      <c r="J922" s="1"/>
      <c r="K922" s="1"/>
    </row>
    <row r="923" spans="1:11">
      <c r="A923" s="1"/>
      <c r="B923" s="1"/>
      <c r="C923" s="1"/>
      <c r="D923" s="1"/>
      <c r="E923" s="1"/>
      <c r="F923" s="1"/>
      <c r="G923" s="1"/>
      <c r="H923" s="1"/>
      <c r="I923" s="1"/>
      <c r="J923" s="1"/>
      <c r="K923" s="1"/>
    </row>
    <row r="924" spans="1:11">
      <c r="A924" s="1"/>
      <c r="B924" s="1"/>
      <c r="C924" s="1"/>
      <c r="D924" s="1"/>
      <c r="E924" s="1"/>
      <c r="F924" s="1"/>
      <c r="G924" s="1"/>
      <c r="H924" s="1"/>
      <c r="I924" s="1"/>
      <c r="J924" s="1"/>
      <c r="K924" s="1"/>
    </row>
    <row r="925" spans="1:11">
      <c r="A925" s="1"/>
      <c r="B925" s="1"/>
      <c r="C925" s="1"/>
      <c r="D925" s="1"/>
      <c r="E925" s="1"/>
      <c r="F925" s="1"/>
      <c r="G925" s="1"/>
      <c r="H925" s="1"/>
      <c r="I925" s="1"/>
      <c r="J925" s="1"/>
      <c r="K925" s="1"/>
    </row>
    <row r="926" spans="1:11">
      <c r="A926" s="1"/>
      <c r="B926" s="1"/>
      <c r="C926" s="1"/>
      <c r="D926" s="1"/>
      <c r="E926" s="1"/>
      <c r="F926" s="1"/>
      <c r="G926" s="1"/>
      <c r="H926" s="1"/>
      <c r="I926" s="1"/>
      <c r="J926" s="1"/>
      <c r="K926" s="1"/>
    </row>
    <row r="927" spans="1:11">
      <c r="A927" s="1"/>
      <c r="B927" s="1"/>
      <c r="C927" s="1"/>
      <c r="D927" s="1"/>
      <c r="E927" s="1"/>
      <c r="F927" s="1"/>
      <c r="G927" s="1"/>
      <c r="H927" s="1"/>
      <c r="I927" s="1"/>
      <c r="J927" s="1"/>
      <c r="K927" s="1"/>
    </row>
    <row r="928" spans="1:11">
      <c r="A928" s="1"/>
      <c r="B928" s="1"/>
      <c r="C928" s="1"/>
      <c r="D928" s="1"/>
      <c r="E928" s="1"/>
      <c r="F928" s="1"/>
      <c r="G928" s="1"/>
      <c r="H928" s="1"/>
      <c r="I928" s="1"/>
      <c r="J928" s="1"/>
      <c r="K928" s="1"/>
    </row>
    <row r="929" spans="1:11">
      <c r="A929" s="1"/>
      <c r="B929" s="1"/>
      <c r="C929" s="1"/>
      <c r="D929" s="1"/>
      <c r="E929" s="1"/>
      <c r="F929" s="1"/>
      <c r="G929" s="1"/>
      <c r="H929" s="1"/>
      <c r="I929" s="1"/>
      <c r="J929" s="1"/>
      <c r="K929" s="1"/>
    </row>
    <row r="930" spans="1:11">
      <c r="A930" s="1"/>
      <c r="B930" s="1"/>
      <c r="C930" s="1"/>
      <c r="D930" s="1"/>
      <c r="E930" s="1"/>
      <c r="F930" s="1"/>
      <c r="G930" s="1"/>
      <c r="H930" s="1"/>
      <c r="I930" s="1"/>
      <c r="J930" s="1"/>
      <c r="K930" s="1"/>
    </row>
    <row r="931" spans="1:11">
      <c r="A931" s="1"/>
      <c r="B931" s="1"/>
      <c r="C931" s="1"/>
      <c r="D931" s="1"/>
      <c r="E931" s="1"/>
      <c r="F931" s="1"/>
      <c r="G931" s="1"/>
      <c r="H931" s="1"/>
      <c r="I931" s="1"/>
      <c r="J931" s="1"/>
      <c r="K931" s="1"/>
    </row>
    <row r="932" spans="1:11">
      <c r="A932" s="1"/>
      <c r="B932" s="1"/>
      <c r="C932" s="1"/>
      <c r="D932" s="1"/>
      <c r="E932" s="1"/>
      <c r="F932" s="1"/>
      <c r="G932" s="1"/>
      <c r="H932" s="1"/>
      <c r="I932" s="1"/>
      <c r="J932" s="1"/>
      <c r="K932" s="1"/>
    </row>
    <row r="933" spans="1:11">
      <c r="A933" s="1"/>
      <c r="B933" s="1"/>
      <c r="C933" s="1"/>
      <c r="D933" s="1"/>
      <c r="E933" s="1"/>
      <c r="F933" s="1"/>
      <c r="G933" s="1"/>
      <c r="H933" s="1"/>
      <c r="I933" s="1"/>
      <c r="J933" s="1"/>
      <c r="K933" s="1"/>
    </row>
    <row r="934" spans="1:11">
      <c r="A934" s="1"/>
      <c r="B934" s="1"/>
      <c r="C934" s="1"/>
      <c r="D934" s="1"/>
      <c r="E934" s="1"/>
      <c r="F934" s="1"/>
      <c r="G934" s="1"/>
      <c r="H934" s="1"/>
      <c r="I934" s="1"/>
      <c r="J934" s="1"/>
      <c r="K934" s="1"/>
    </row>
    <row r="935" spans="1:11">
      <c r="A935" s="1"/>
      <c r="B935" s="1"/>
      <c r="C935" s="1"/>
      <c r="D935" s="1"/>
      <c r="E935" s="1"/>
      <c r="F935" s="1"/>
      <c r="G935" s="1"/>
      <c r="H935" s="1"/>
      <c r="I935" s="1"/>
      <c r="J935" s="1"/>
      <c r="K935" s="1"/>
    </row>
    <row r="936" spans="1:11">
      <c r="A936" s="1"/>
      <c r="B936" s="1"/>
      <c r="C936" s="1"/>
      <c r="D936" s="1"/>
      <c r="E936" s="1"/>
      <c r="F936" s="1"/>
      <c r="G936" s="1"/>
      <c r="H936" s="1"/>
      <c r="I936" s="1"/>
      <c r="J936" s="1"/>
      <c r="K936" s="1"/>
    </row>
    <row r="937" spans="1:11">
      <c r="A937" s="1"/>
      <c r="B937" s="1"/>
      <c r="C937" s="1"/>
      <c r="D937" s="1"/>
      <c r="E937" s="1"/>
      <c r="F937" s="1"/>
      <c r="G937" s="1"/>
      <c r="H937" s="1"/>
      <c r="I937" s="1"/>
      <c r="J937" s="1"/>
      <c r="K937" s="1"/>
    </row>
    <row r="938" spans="1:11">
      <c r="A938" s="1"/>
      <c r="B938" s="1"/>
      <c r="C938" s="1"/>
      <c r="D938" s="1"/>
      <c r="E938" s="1"/>
      <c r="F938" s="1"/>
      <c r="G938" s="1"/>
      <c r="H938" s="1"/>
      <c r="I938" s="1"/>
      <c r="J938" s="1"/>
      <c r="K938" s="1"/>
    </row>
    <row r="939" spans="1:11">
      <c r="A939" s="1"/>
      <c r="B939" s="1"/>
      <c r="C939" s="1"/>
      <c r="D939" s="1"/>
      <c r="E939" s="1"/>
      <c r="F939" s="1"/>
      <c r="G939" s="1"/>
      <c r="H939" s="1"/>
      <c r="I939" s="1"/>
      <c r="J939" s="1"/>
      <c r="K939" s="1"/>
    </row>
    <row r="940" spans="1:11">
      <c r="A940" s="1"/>
      <c r="B940" s="1"/>
      <c r="C940" s="1"/>
      <c r="D940" s="1"/>
      <c r="E940" s="1"/>
      <c r="F940" s="1"/>
      <c r="G940" s="1"/>
      <c r="H940" s="1"/>
      <c r="I940" s="1"/>
      <c r="J940" s="1"/>
      <c r="K940" s="1"/>
    </row>
    <row r="941" spans="1:11">
      <c r="A941" s="1"/>
      <c r="B941" s="1"/>
      <c r="C941" s="1"/>
      <c r="D941" s="1"/>
      <c r="E941" s="1"/>
      <c r="F941" s="1"/>
      <c r="G941" s="1"/>
      <c r="H941" s="1"/>
      <c r="I941" s="1"/>
      <c r="J941" s="1"/>
      <c r="K941" s="1"/>
    </row>
    <row r="942" spans="1:11">
      <c r="A942" s="1"/>
      <c r="B942" s="1"/>
      <c r="C942" s="1"/>
      <c r="D942" s="1"/>
      <c r="E942" s="1"/>
      <c r="F942" s="1"/>
      <c r="G942" s="1"/>
      <c r="H942" s="1"/>
      <c r="I942" s="1"/>
      <c r="J942" s="1"/>
      <c r="K942" s="1"/>
    </row>
    <row r="943" spans="1:11">
      <c r="A943" s="1"/>
      <c r="B943" s="1"/>
      <c r="C943" s="1"/>
      <c r="D943" s="1"/>
      <c r="E943" s="1"/>
      <c r="F943" s="1"/>
      <c r="G943" s="1"/>
      <c r="H943" s="1"/>
      <c r="I943" s="1"/>
      <c r="J943" s="1"/>
      <c r="K943" s="1"/>
    </row>
    <row r="944" spans="1:11">
      <c r="A944" s="1"/>
      <c r="B944" s="1"/>
      <c r="C944" s="1"/>
      <c r="D944" s="1"/>
      <c r="E944" s="1"/>
      <c r="F944" s="1"/>
      <c r="G944" s="1"/>
      <c r="H944" s="1"/>
      <c r="I944" s="1"/>
      <c r="J944" s="1"/>
      <c r="K944" s="1"/>
    </row>
    <row r="945" spans="1:11">
      <c r="A945" s="1"/>
      <c r="B945" s="1"/>
      <c r="C945" s="1"/>
      <c r="D945" s="1"/>
      <c r="E945" s="1"/>
      <c r="F945" s="1"/>
      <c r="G945" s="1"/>
      <c r="H945" s="1"/>
      <c r="I945" s="1"/>
      <c r="J945" s="1"/>
      <c r="K945" s="1"/>
    </row>
    <row r="946" spans="1:11">
      <c r="A946" s="1"/>
      <c r="B946" s="1"/>
      <c r="C946" s="1"/>
      <c r="D946" s="1"/>
      <c r="E946" s="1"/>
      <c r="F946" s="1"/>
      <c r="G946" s="1"/>
      <c r="H946" s="1"/>
      <c r="I946" s="1"/>
      <c r="J946" s="1"/>
      <c r="K946" s="1"/>
    </row>
    <row r="947" spans="1:11">
      <c r="A947" s="1"/>
      <c r="B947" s="1"/>
      <c r="C947" s="1"/>
      <c r="D947" s="1"/>
      <c r="E947" s="1"/>
      <c r="F947" s="1"/>
      <c r="G947" s="1"/>
      <c r="H947" s="1"/>
      <c r="I947" s="1"/>
      <c r="J947" s="1"/>
      <c r="K947" s="1"/>
    </row>
    <row r="948" spans="1:11">
      <c r="A948" s="1"/>
      <c r="B948" s="1"/>
      <c r="C948" s="1"/>
      <c r="D948" s="1"/>
      <c r="E948" s="1"/>
      <c r="F948" s="1"/>
      <c r="G948" s="1"/>
      <c r="H948" s="1"/>
      <c r="I948" s="1"/>
      <c r="J948" s="1"/>
      <c r="K948" s="1"/>
    </row>
    <row r="949" spans="1:11">
      <c r="A949" s="1"/>
      <c r="B949" s="1"/>
      <c r="C949" s="1"/>
      <c r="D949" s="1"/>
      <c r="E949" s="1"/>
      <c r="F949" s="1"/>
      <c r="G949" s="1"/>
      <c r="H949" s="1"/>
      <c r="I949" s="1"/>
      <c r="J949" s="1"/>
      <c r="K949" s="1"/>
    </row>
    <row r="950" spans="1:11">
      <c r="A950" s="1"/>
      <c r="B950" s="1"/>
      <c r="C950" s="1"/>
      <c r="D950" s="1"/>
      <c r="E950" s="1"/>
      <c r="F950" s="1"/>
      <c r="G950" s="1"/>
      <c r="H950" s="1"/>
      <c r="I950" s="1"/>
      <c r="J950" s="1"/>
      <c r="K950" s="1"/>
    </row>
    <row r="951" spans="1:11">
      <c r="A951" s="1"/>
      <c r="B951" s="1"/>
      <c r="C951" s="1"/>
      <c r="D951" s="1"/>
      <c r="E951" s="1"/>
      <c r="F951" s="1"/>
      <c r="G951" s="1"/>
      <c r="H951" s="1"/>
      <c r="I951" s="1"/>
      <c r="J951" s="1"/>
      <c r="K951" s="1"/>
    </row>
    <row r="952" spans="1:11">
      <c r="A952" s="1"/>
      <c r="B952" s="1"/>
      <c r="C952" s="1"/>
      <c r="D952" s="1"/>
      <c r="E952" s="1"/>
      <c r="F952" s="1"/>
      <c r="G952" s="1"/>
      <c r="H952" s="1"/>
      <c r="I952" s="1"/>
      <c r="J952" s="1"/>
      <c r="K952" s="1"/>
    </row>
    <row r="953" spans="1:11">
      <c r="A953" s="1"/>
      <c r="B953" s="1"/>
      <c r="C953" s="1"/>
      <c r="D953" s="1"/>
      <c r="E953" s="1"/>
      <c r="F953" s="1"/>
      <c r="G953" s="1"/>
      <c r="H953" s="1"/>
      <c r="I953" s="1"/>
      <c r="J953" s="1"/>
      <c r="K953" s="1"/>
    </row>
    <row r="954" spans="1:11">
      <c r="A954" s="1"/>
      <c r="B954" s="1"/>
      <c r="C954" s="1"/>
      <c r="D954" s="1"/>
      <c r="E954" s="1"/>
      <c r="F954" s="1"/>
      <c r="G954" s="1"/>
      <c r="H954" s="1"/>
      <c r="I954" s="1"/>
      <c r="J954" s="1"/>
      <c r="K954" s="1"/>
    </row>
    <row r="955" spans="1:11">
      <c r="A955" s="1"/>
      <c r="B955" s="1"/>
      <c r="C955" s="1"/>
      <c r="D955" s="1"/>
      <c r="E955" s="1"/>
      <c r="F955" s="1"/>
      <c r="G955" s="1"/>
      <c r="H955" s="1"/>
      <c r="I955" s="1"/>
      <c r="J955" s="1"/>
      <c r="K955" s="1"/>
    </row>
    <row r="956" spans="1:11">
      <c r="A956" s="1"/>
      <c r="B956" s="1"/>
      <c r="C956" s="1"/>
      <c r="D956" s="1"/>
      <c r="E956" s="1"/>
      <c r="F956" s="1"/>
      <c r="G956" s="1"/>
      <c r="H956" s="1"/>
      <c r="I956" s="1"/>
      <c r="J956" s="1"/>
      <c r="K956" s="1"/>
    </row>
    <row r="957" spans="1:11">
      <c r="A957" s="1"/>
      <c r="B957" s="1"/>
      <c r="C957" s="1"/>
      <c r="D957" s="1"/>
      <c r="E957" s="1"/>
      <c r="F957" s="1"/>
      <c r="G957" s="1"/>
      <c r="H957" s="1"/>
      <c r="I957" s="1"/>
      <c r="J957" s="1"/>
      <c r="K957" s="1"/>
    </row>
    <row r="958" spans="1:11">
      <c r="A958" s="1"/>
      <c r="B958" s="1"/>
      <c r="C958" s="1"/>
      <c r="D958" s="1"/>
      <c r="E958" s="1"/>
      <c r="F958" s="1"/>
      <c r="G958" s="1"/>
      <c r="H958" s="1"/>
      <c r="I958" s="1"/>
      <c r="J958" s="1"/>
      <c r="K958" s="1"/>
    </row>
    <row r="959" spans="1:11">
      <c r="A959" s="1"/>
      <c r="B959" s="1"/>
      <c r="C959" s="1"/>
      <c r="D959" s="1"/>
      <c r="E959" s="1"/>
      <c r="F959" s="1"/>
      <c r="G959" s="1"/>
      <c r="H959" s="1"/>
      <c r="I959" s="1"/>
      <c r="J959" s="1"/>
      <c r="K959" s="1"/>
    </row>
    <row r="960" spans="1:11">
      <c r="A960" s="1"/>
      <c r="B960" s="1"/>
      <c r="C960" s="1"/>
      <c r="D960" s="1"/>
      <c r="E960" s="1"/>
      <c r="F960" s="1"/>
      <c r="G960" s="1"/>
      <c r="H960" s="1"/>
      <c r="I960" s="1"/>
      <c r="J960" s="1"/>
      <c r="K960" s="1"/>
    </row>
    <row r="961" spans="1:11">
      <c r="A961" s="1"/>
      <c r="B961" s="1"/>
      <c r="C961" s="1"/>
      <c r="D961" s="1"/>
      <c r="E961" s="1"/>
      <c r="F961" s="1"/>
      <c r="G961" s="1"/>
      <c r="H961" s="1"/>
      <c r="I961" s="1"/>
      <c r="J961" s="1"/>
      <c r="K961" s="1"/>
    </row>
    <row r="962" spans="1:11">
      <c r="A962" s="1"/>
      <c r="B962" s="1"/>
      <c r="C962" s="1"/>
      <c r="D962" s="1"/>
      <c r="E962" s="1"/>
      <c r="F962" s="1"/>
      <c r="G962" s="1"/>
      <c r="H962" s="1"/>
      <c r="I962" s="1"/>
      <c r="J962" s="1"/>
      <c r="K962" s="1"/>
    </row>
    <row r="963" spans="1:11">
      <c r="A963" s="1"/>
      <c r="B963" s="1"/>
      <c r="C963" s="1"/>
      <c r="D963" s="1"/>
      <c r="E963" s="1"/>
      <c r="F963" s="1"/>
      <c r="G963" s="1"/>
      <c r="H963" s="1"/>
      <c r="I963" s="1"/>
      <c r="J963" s="1"/>
      <c r="K963" s="1"/>
    </row>
    <row r="964" spans="1:11">
      <c r="A964" s="1"/>
      <c r="B964" s="1"/>
      <c r="C964" s="1"/>
      <c r="D964" s="1"/>
      <c r="E964" s="1"/>
      <c r="F964" s="1"/>
      <c r="G964" s="1"/>
      <c r="H964" s="1"/>
      <c r="I964" s="1"/>
      <c r="J964" s="1"/>
      <c r="K964" s="1"/>
    </row>
    <row r="965" spans="1:11">
      <c r="A965" s="1"/>
      <c r="B965" s="1"/>
      <c r="C965" s="1"/>
      <c r="D965" s="1"/>
      <c r="E965" s="1"/>
      <c r="F965" s="1"/>
      <c r="G965" s="1"/>
      <c r="H965" s="1"/>
      <c r="I965" s="1"/>
      <c r="J965" s="1"/>
      <c r="K965" s="1"/>
    </row>
    <row r="966" spans="1:11">
      <c r="A966" s="1"/>
      <c r="B966" s="1"/>
      <c r="C966" s="1"/>
      <c r="D966" s="1"/>
      <c r="E966" s="1"/>
      <c r="F966" s="1"/>
      <c r="G966" s="1"/>
      <c r="H966" s="1"/>
      <c r="I966" s="1"/>
      <c r="J966" s="1"/>
      <c r="K966" s="1"/>
    </row>
    <row r="967" spans="1:11">
      <c r="A967" s="1"/>
      <c r="B967" s="1"/>
      <c r="C967" s="1"/>
      <c r="D967" s="1"/>
      <c r="E967" s="1"/>
      <c r="F967" s="1"/>
      <c r="G967" s="1"/>
      <c r="H967" s="1"/>
      <c r="I967" s="1"/>
      <c r="J967" s="1"/>
      <c r="K967" s="1"/>
    </row>
    <row r="968" spans="1:11">
      <c r="A968" s="1"/>
      <c r="B968" s="1"/>
      <c r="C968" s="1"/>
      <c r="D968" s="1"/>
      <c r="E968" s="1"/>
      <c r="F968" s="1"/>
      <c r="G968" s="1"/>
      <c r="H968" s="1"/>
      <c r="I968" s="1"/>
      <c r="J968" s="1"/>
      <c r="K968" s="1"/>
    </row>
    <row r="969" spans="1:11">
      <c r="A969" s="1"/>
      <c r="B969" s="1"/>
      <c r="C969" s="1"/>
      <c r="D969" s="1"/>
      <c r="E969" s="1"/>
      <c r="F969" s="1"/>
      <c r="G969" s="1"/>
      <c r="H969" s="1"/>
      <c r="I969" s="1"/>
      <c r="J969" s="1"/>
      <c r="K969" s="1"/>
    </row>
    <row r="970" spans="1:11">
      <c r="A970" s="1"/>
      <c r="B970" s="1"/>
      <c r="C970" s="1"/>
      <c r="D970" s="1"/>
      <c r="E970" s="1"/>
      <c r="F970" s="1"/>
      <c r="G970" s="1"/>
      <c r="H970" s="1"/>
      <c r="I970" s="1"/>
      <c r="J970" s="1"/>
      <c r="K970" s="1"/>
    </row>
    <row r="971" spans="1:11">
      <c r="A971" s="1"/>
      <c r="B971" s="1"/>
      <c r="C971" s="1"/>
      <c r="D971" s="1"/>
      <c r="E971" s="1"/>
      <c r="F971" s="1"/>
      <c r="G971" s="1"/>
      <c r="H971" s="1"/>
      <c r="I971" s="1"/>
      <c r="J971" s="1"/>
      <c r="K971" s="1"/>
    </row>
    <row r="972" spans="1:11">
      <c r="A972" s="1"/>
      <c r="B972" s="1"/>
      <c r="C972" s="1"/>
      <c r="D972" s="1"/>
      <c r="E972" s="1"/>
      <c r="F972" s="1"/>
      <c r="G972" s="1"/>
      <c r="H972" s="1"/>
      <c r="I972" s="1"/>
      <c r="J972" s="1"/>
      <c r="K972" s="1"/>
    </row>
    <row r="973" spans="1:11">
      <c r="A973" s="1"/>
      <c r="B973" s="1"/>
      <c r="C973" s="1"/>
      <c r="D973" s="1"/>
      <c r="E973" s="1"/>
      <c r="F973" s="1"/>
      <c r="G973" s="1"/>
      <c r="H973" s="1"/>
      <c r="I973" s="1"/>
      <c r="J973" s="1"/>
      <c r="K973" s="1"/>
    </row>
    <row r="974" spans="1:11">
      <c r="A974" s="1"/>
      <c r="B974" s="1"/>
      <c r="C974" s="1"/>
      <c r="D974" s="1"/>
      <c r="E974" s="1"/>
      <c r="F974" s="1"/>
      <c r="G974" s="1"/>
      <c r="H974" s="1"/>
      <c r="I974" s="1"/>
      <c r="J974" s="1"/>
      <c r="K974" s="1"/>
    </row>
    <row r="975" spans="1:11">
      <c r="A975" s="1"/>
      <c r="B975" s="1"/>
      <c r="C975" s="1"/>
      <c r="D975" s="1"/>
      <c r="E975" s="1"/>
      <c r="F975" s="1"/>
      <c r="G975" s="1"/>
      <c r="H975" s="1"/>
      <c r="I975" s="1"/>
      <c r="J975" s="1"/>
      <c r="K975" s="1"/>
    </row>
    <row r="976" spans="1:11">
      <c r="A976" s="1"/>
      <c r="B976" s="1"/>
      <c r="C976" s="1"/>
      <c r="D976" s="1"/>
      <c r="E976" s="1"/>
      <c r="F976" s="1"/>
      <c r="G976" s="1"/>
      <c r="H976" s="1"/>
      <c r="I976" s="1"/>
      <c r="J976" s="1"/>
      <c r="K976" s="1"/>
    </row>
    <row r="977" spans="1:11">
      <c r="A977" s="1"/>
      <c r="B977" s="1"/>
      <c r="C977" s="1"/>
      <c r="D977" s="1"/>
      <c r="E977" s="1"/>
      <c r="F977" s="1"/>
      <c r="G977" s="1"/>
      <c r="H977" s="1"/>
      <c r="I977" s="1"/>
      <c r="J977" s="1"/>
      <c r="K977" s="1"/>
    </row>
    <row r="978" spans="1:11">
      <c r="A978" s="1"/>
      <c r="B978" s="1"/>
      <c r="C978" s="1"/>
      <c r="D978" s="1"/>
      <c r="E978" s="1"/>
      <c r="F978" s="1"/>
      <c r="G978" s="1"/>
      <c r="H978" s="1"/>
      <c r="I978" s="1"/>
      <c r="J978" s="1"/>
      <c r="K978" s="1"/>
    </row>
    <row r="979" spans="1:11">
      <c r="A979" s="1"/>
      <c r="B979" s="1"/>
      <c r="C979" s="1"/>
      <c r="D979" s="1"/>
      <c r="E979" s="1"/>
      <c r="F979" s="1"/>
      <c r="G979" s="1"/>
      <c r="H979" s="1"/>
      <c r="I979" s="1"/>
      <c r="J979" s="1"/>
      <c r="K979" s="1"/>
    </row>
    <row r="980" spans="1:11">
      <c r="A980" s="1"/>
      <c r="B980" s="1"/>
      <c r="C980" s="1"/>
      <c r="D980" s="1"/>
      <c r="E980" s="1"/>
      <c r="F980" s="1"/>
      <c r="G980" s="1"/>
      <c r="H980" s="1"/>
      <c r="I980" s="1"/>
      <c r="J980" s="1"/>
      <c r="K980" s="1"/>
    </row>
    <row r="981" spans="1:11">
      <c r="A981" s="1"/>
      <c r="B981" s="1"/>
      <c r="C981" s="1"/>
      <c r="D981" s="1"/>
      <c r="E981" s="1"/>
      <c r="F981" s="1"/>
      <c r="G981" s="1"/>
      <c r="H981" s="1"/>
      <c r="I981" s="1"/>
      <c r="J981" s="1"/>
      <c r="K981" s="1"/>
    </row>
    <row r="982" spans="1:11">
      <c r="A982" s="1"/>
      <c r="B982" s="1"/>
      <c r="C982" s="1"/>
      <c r="D982" s="1"/>
      <c r="E982" s="1"/>
      <c r="F982" s="1"/>
      <c r="G982" s="1"/>
      <c r="H982" s="1"/>
      <c r="I982" s="1"/>
      <c r="J982" s="1"/>
      <c r="K982" s="1"/>
    </row>
    <row r="983" spans="1:11">
      <c r="A983" s="1"/>
      <c r="B983" s="1"/>
      <c r="C983" s="1"/>
      <c r="D983" s="1"/>
      <c r="E983" s="1"/>
      <c r="F983" s="1"/>
      <c r="G983" s="1"/>
      <c r="H983" s="1"/>
      <c r="I983" s="1"/>
      <c r="J983" s="1"/>
      <c r="K983" s="1"/>
    </row>
    <row r="984" spans="1:11">
      <c r="A984" s="1"/>
      <c r="B984" s="1"/>
      <c r="C984" s="1"/>
      <c r="D984" s="1"/>
      <c r="E984" s="1"/>
      <c r="F984" s="1"/>
      <c r="G984" s="1"/>
      <c r="H984" s="1"/>
      <c r="I984" s="1"/>
      <c r="J984" s="1"/>
      <c r="K984" s="1"/>
    </row>
    <row r="985" spans="1:11">
      <c r="A985" s="1"/>
      <c r="B985" s="1"/>
      <c r="C985" s="1"/>
      <c r="D985" s="1"/>
      <c r="E985" s="1"/>
      <c r="F985" s="1"/>
      <c r="G985" s="1"/>
      <c r="H985" s="1"/>
      <c r="I985" s="1"/>
      <c r="J985" s="1"/>
      <c r="K985" s="1"/>
    </row>
    <row r="986" spans="1:11">
      <c r="A986" s="1"/>
      <c r="B986" s="1"/>
      <c r="C986" s="1"/>
      <c r="D986" s="1"/>
      <c r="E986" s="1"/>
      <c r="F986" s="1"/>
      <c r="G986" s="1"/>
      <c r="H986" s="1"/>
      <c r="I986" s="1"/>
      <c r="J986" s="1"/>
      <c r="K986" s="1"/>
    </row>
    <row r="987" spans="1:11">
      <c r="A987" s="1"/>
      <c r="B987" s="1"/>
      <c r="C987" s="1"/>
      <c r="D987" s="1"/>
      <c r="E987" s="1"/>
      <c r="F987" s="1"/>
      <c r="G987" s="1"/>
      <c r="H987" s="1"/>
      <c r="I987" s="1"/>
      <c r="J987" s="1"/>
      <c r="K987" s="1"/>
    </row>
    <row r="988" spans="1:11">
      <c r="A988" s="1"/>
      <c r="B988" s="1"/>
      <c r="C988" s="1"/>
      <c r="D988" s="1"/>
      <c r="E988" s="1"/>
      <c r="F988" s="1"/>
      <c r="G988" s="1"/>
      <c r="H988" s="1"/>
      <c r="I988" s="1"/>
      <c r="J988" s="1"/>
      <c r="K988" s="1"/>
    </row>
    <row r="989" spans="1:11">
      <c r="A989" s="1"/>
      <c r="B989" s="1"/>
      <c r="C989" s="1"/>
      <c r="D989" s="1"/>
      <c r="E989" s="1"/>
      <c r="F989" s="1"/>
      <c r="G989" s="1"/>
      <c r="H989" s="1"/>
      <c r="I989" s="1"/>
      <c r="J989" s="1"/>
      <c r="K989" s="1"/>
    </row>
    <row r="990" spans="1:11">
      <c r="A990" s="1"/>
      <c r="B990" s="1"/>
      <c r="C990" s="1"/>
      <c r="D990" s="1"/>
      <c r="E990" s="1"/>
      <c r="F990" s="1"/>
      <c r="G990" s="1"/>
      <c r="H990" s="1"/>
      <c r="I990" s="1"/>
      <c r="J990" s="1"/>
      <c r="K990" s="1"/>
    </row>
    <row r="991" spans="1:11">
      <c r="A991" s="1"/>
      <c r="B991" s="1"/>
      <c r="C991" s="1"/>
      <c r="D991" s="1"/>
      <c r="E991" s="1"/>
      <c r="F991" s="1"/>
      <c r="G991" s="1"/>
      <c r="H991" s="1"/>
      <c r="I991" s="1"/>
      <c r="J991" s="1"/>
      <c r="K991" s="1"/>
    </row>
    <row r="992" spans="1:11">
      <c r="A992" s="1"/>
      <c r="B992" s="1"/>
      <c r="C992" s="1"/>
      <c r="D992" s="1"/>
      <c r="E992" s="1"/>
      <c r="F992" s="1"/>
      <c r="G992" s="1"/>
      <c r="H992" s="1"/>
      <c r="I992" s="1"/>
      <c r="J992" s="1"/>
      <c r="K992" s="1"/>
    </row>
    <row r="993" spans="1:11">
      <c r="A993" s="1"/>
      <c r="B993" s="1"/>
      <c r="C993" s="1"/>
      <c r="D993" s="1"/>
      <c r="E993" s="1"/>
      <c r="F993" s="1"/>
      <c r="G993" s="1"/>
      <c r="H993" s="1"/>
      <c r="I993" s="1"/>
      <c r="J993" s="1"/>
      <c r="K993" s="1"/>
    </row>
    <row r="994" spans="1:11">
      <c r="A994" s="1"/>
      <c r="B994" s="1"/>
      <c r="C994" s="1"/>
      <c r="D994" s="1"/>
      <c r="E994" s="1"/>
      <c r="F994" s="1"/>
      <c r="G994" s="1"/>
      <c r="H994" s="1"/>
      <c r="I994" s="1"/>
      <c r="J994" s="1"/>
      <c r="K994" s="1"/>
    </row>
    <row r="995" spans="1:11">
      <c r="A995" s="1"/>
      <c r="B995" s="1"/>
      <c r="C995" s="1"/>
      <c r="D995" s="1"/>
      <c r="E995" s="1"/>
      <c r="F995" s="1"/>
      <c r="G995" s="1"/>
      <c r="H995" s="1"/>
      <c r="I995" s="1"/>
      <c r="J995" s="1"/>
      <c r="K995" s="1"/>
    </row>
    <row r="996" spans="1:11">
      <c r="A996" s="1"/>
      <c r="B996" s="1"/>
      <c r="C996" s="1"/>
      <c r="D996" s="1"/>
      <c r="E996" s="1"/>
      <c r="F996" s="1"/>
      <c r="G996" s="1"/>
      <c r="H996" s="1"/>
      <c r="I996" s="1"/>
      <c r="J996" s="1"/>
      <c r="K996" s="1"/>
    </row>
    <row r="997" spans="1:11">
      <c r="A997" s="1"/>
      <c r="B997" s="1"/>
      <c r="C997" s="1"/>
      <c r="D997" s="1"/>
      <c r="E997" s="1"/>
      <c r="F997" s="1"/>
      <c r="G997" s="1"/>
      <c r="H997" s="1"/>
      <c r="I997" s="1"/>
      <c r="J997" s="1"/>
      <c r="K997" s="1"/>
    </row>
    <row r="998" spans="1:11">
      <c r="A998" s="1"/>
      <c r="B998" s="1"/>
      <c r="C998" s="1"/>
      <c r="D998" s="1"/>
      <c r="E998" s="1"/>
      <c r="F998" s="1"/>
      <c r="G998" s="1"/>
      <c r="H998" s="1"/>
      <c r="I998" s="1"/>
      <c r="J998" s="1"/>
      <c r="K998" s="1"/>
    </row>
    <row r="999" spans="1:11">
      <c r="A999" s="1"/>
      <c r="B999" s="1"/>
      <c r="C999" s="1"/>
      <c r="D999" s="1"/>
      <c r="E999" s="1"/>
      <c r="F999" s="1"/>
      <c r="G999" s="1"/>
      <c r="H999" s="1"/>
      <c r="I999" s="1"/>
      <c r="J999" s="1"/>
      <c r="K999" s="1"/>
    </row>
    <row r="1000" spans="1:11">
      <c r="A1000" s="1"/>
      <c r="B1000" s="1"/>
      <c r="C1000" s="1"/>
      <c r="D1000" s="1"/>
      <c r="E1000" s="1"/>
      <c r="F1000" s="1"/>
      <c r="G1000" s="1"/>
      <c r="H1000" s="1"/>
      <c r="I1000" s="1"/>
      <c r="J1000" s="1"/>
      <c r="K1000" s="1"/>
    </row>
    <row r="1001" spans="1:11">
      <c r="A1001" s="1"/>
      <c r="B1001" s="1"/>
      <c r="C1001" s="1"/>
      <c r="D1001" s="1"/>
      <c r="E1001" s="1"/>
      <c r="F1001" s="1"/>
      <c r="G1001" s="1"/>
      <c r="H1001" s="1"/>
      <c r="I1001" s="1"/>
      <c r="J1001" s="1"/>
      <c r="K1001" s="1"/>
    </row>
    <row r="1002" spans="1:11">
      <c r="A1002" s="1"/>
      <c r="B1002" s="1"/>
      <c r="C1002" s="1"/>
      <c r="D1002" s="1"/>
      <c r="E1002" s="1"/>
      <c r="F1002" s="1"/>
      <c r="G1002" s="1"/>
      <c r="H1002" s="1"/>
      <c r="I1002" s="1"/>
      <c r="J1002" s="1"/>
      <c r="K1002" s="1"/>
    </row>
    <row r="1003" spans="1:11">
      <c r="A1003" s="1"/>
      <c r="B1003" s="1"/>
      <c r="C1003" s="1"/>
      <c r="D1003" s="1"/>
      <c r="E1003" s="1"/>
      <c r="F1003" s="1"/>
      <c r="G1003" s="1"/>
      <c r="H1003" s="1"/>
      <c r="I1003" s="1"/>
      <c r="J1003" s="1"/>
      <c r="K1003" s="1"/>
    </row>
    <row r="1004" spans="1:11">
      <c r="A1004" s="1"/>
      <c r="B1004" s="1"/>
      <c r="C1004" s="1"/>
      <c r="D1004" s="1"/>
      <c r="E1004" s="1"/>
      <c r="F1004" s="1"/>
      <c r="G1004" s="1"/>
      <c r="H1004" s="1"/>
      <c r="I1004" s="1"/>
      <c r="J1004" s="1"/>
      <c r="K1004" s="1"/>
    </row>
    <row r="1005" spans="1:11">
      <c r="A1005" s="1"/>
      <c r="B1005" s="1"/>
      <c r="C1005" s="1"/>
      <c r="D1005" s="1"/>
      <c r="E1005" s="1"/>
      <c r="F1005" s="1"/>
      <c r="G1005" s="1"/>
      <c r="H1005" s="1"/>
      <c r="I1005" s="1"/>
      <c r="J1005" s="1"/>
      <c r="K1005" s="1"/>
    </row>
    <row r="1006" spans="1:11">
      <c r="A1006" s="1"/>
      <c r="B1006" s="1"/>
      <c r="C1006" s="1"/>
      <c r="D1006" s="1"/>
      <c r="E1006" s="1"/>
      <c r="F1006" s="1"/>
      <c r="G1006" s="1"/>
      <c r="H1006" s="1"/>
      <c r="I1006" s="1"/>
      <c r="J1006" s="1"/>
      <c r="K1006" s="1"/>
    </row>
    <row r="1007" spans="1:11">
      <c r="A1007" s="1"/>
      <c r="B1007" s="1"/>
      <c r="C1007" s="1"/>
      <c r="D1007" s="1"/>
      <c r="E1007" s="1"/>
      <c r="F1007" s="1"/>
      <c r="G1007" s="1"/>
      <c r="H1007" s="1"/>
      <c r="I1007" s="1"/>
      <c r="J1007" s="1"/>
      <c r="K1007" s="1"/>
    </row>
    <row r="1008" spans="1:11">
      <c r="A1008" s="1"/>
      <c r="B1008" s="1"/>
      <c r="C1008" s="1"/>
      <c r="D1008" s="1"/>
      <c r="E1008" s="1"/>
      <c r="F1008" s="1"/>
      <c r="G1008" s="1"/>
      <c r="H1008" s="1"/>
      <c r="I1008" s="1"/>
      <c r="J1008" s="1"/>
      <c r="K1008" s="1"/>
    </row>
    <row r="1009" spans="1:11">
      <c r="A1009" s="1"/>
      <c r="B1009" s="1"/>
      <c r="C1009" s="1"/>
      <c r="D1009" s="1"/>
      <c r="E1009" s="1"/>
      <c r="F1009" s="1"/>
      <c r="G1009" s="1"/>
      <c r="H1009" s="1"/>
      <c r="I1009" s="1"/>
      <c r="J1009" s="1"/>
      <c r="K1009" s="1"/>
    </row>
    <row r="1010" spans="1:11">
      <c r="A1010" s="1"/>
      <c r="B1010" s="1"/>
      <c r="C1010" s="1"/>
      <c r="D1010" s="1"/>
      <c r="E1010" s="1"/>
      <c r="F1010" s="1"/>
      <c r="G1010" s="1"/>
      <c r="H1010" s="1"/>
      <c r="I1010" s="1"/>
      <c r="J1010" s="1"/>
      <c r="K1010" s="1"/>
    </row>
    <row r="1011" spans="1:11">
      <c r="A1011" s="1"/>
      <c r="B1011" s="1"/>
      <c r="C1011" s="1"/>
      <c r="D1011" s="1"/>
      <c r="E1011" s="1"/>
      <c r="F1011" s="1"/>
      <c r="G1011" s="1"/>
      <c r="H1011" s="1"/>
      <c r="I1011" s="1"/>
      <c r="J1011" s="1"/>
      <c r="K1011" s="1"/>
    </row>
    <row r="1012" spans="1:11">
      <c r="A1012" s="1"/>
      <c r="B1012" s="1"/>
      <c r="C1012" s="1"/>
      <c r="D1012" s="1"/>
      <c r="E1012" s="1"/>
      <c r="F1012" s="1"/>
      <c r="G1012" s="1"/>
      <c r="H1012" s="1"/>
      <c r="I1012" s="1"/>
      <c r="J1012" s="1"/>
      <c r="K1012" s="1"/>
    </row>
    <row r="1013" spans="1:11">
      <c r="A1013" s="1"/>
      <c r="B1013" s="1"/>
      <c r="C1013" s="1"/>
      <c r="D1013" s="1"/>
      <c r="E1013" s="1"/>
      <c r="F1013" s="1"/>
      <c r="G1013" s="1"/>
      <c r="H1013" s="1"/>
      <c r="I1013" s="1"/>
      <c r="J1013" s="1"/>
      <c r="K1013" s="1"/>
    </row>
    <row r="1014" spans="1:11">
      <c r="A1014" s="1"/>
      <c r="B1014" s="1"/>
      <c r="C1014" s="1"/>
      <c r="D1014" s="1"/>
      <c r="E1014" s="1"/>
      <c r="F1014" s="1"/>
      <c r="G1014" s="1"/>
      <c r="H1014" s="1"/>
      <c r="I1014" s="1"/>
      <c r="J1014" s="1"/>
      <c r="K1014" s="1"/>
    </row>
    <row r="1015" spans="1:11">
      <c r="A1015" s="1"/>
      <c r="B1015" s="1"/>
      <c r="C1015" s="1"/>
      <c r="D1015" s="1"/>
      <c r="E1015" s="1"/>
      <c r="F1015" s="1"/>
      <c r="G1015" s="1"/>
      <c r="H1015" s="1"/>
      <c r="I1015" s="1"/>
      <c r="J1015" s="1"/>
      <c r="K1015" s="1"/>
    </row>
    <row r="1016" spans="1:11">
      <c r="A1016" s="1"/>
      <c r="B1016" s="1"/>
      <c r="C1016" s="1"/>
      <c r="D1016" s="1"/>
      <c r="E1016" s="1"/>
      <c r="F1016" s="1"/>
      <c r="G1016" s="1"/>
      <c r="H1016" s="1"/>
      <c r="I1016" s="1"/>
      <c r="J1016" s="1"/>
      <c r="K1016" s="1"/>
    </row>
    <row r="1017" spans="1:11">
      <c r="A1017" s="1"/>
      <c r="B1017" s="1"/>
      <c r="C1017" s="1"/>
      <c r="D1017" s="1"/>
      <c r="E1017" s="1"/>
      <c r="F1017" s="1"/>
      <c r="G1017" s="1"/>
      <c r="H1017" s="1"/>
      <c r="I1017" s="1"/>
      <c r="J1017" s="1"/>
      <c r="K1017" s="1"/>
    </row>
    <row r="1018" spans="1:11">
      <c r="A1018" s="1"/>
      <c r="B1018" s="1"/>
      <c r="C1018" s="1"/>
      <c r="D1018" s="1"/>
      <c r="E1018" s="1"/>
      <c r="F1018" s="1"/>
      <c r="G1018" s="1"/>
      <c r="H1018" s="1"/>
      <c r="I1018" s="1"/>
      <c r="J1018" s="1"/>
      <c r="K1018" s="1"/>
    </row>
    <row r="1019" spans="1:11">
      <c r="A1019" s="1"/>
      <c r="B1019" s="1"/>
      <c r="C1019" s="1"/>
      <c r="D1019" s="1"/>
      <c r="E1019" s="1"/>
      <c r="F1019" s="1"/>
      <c r="G1019" s="1"/>
      <c r="H1019" s="1"/>
      <c r="I1019" s="1"/>
      <c r="J1019" s="1"/>
      <c r="K1019" s="1"/>
    </row>
    <row r="1020" spans="1:11">
      <c r="A1020" s="1"/>
      <c r="B1020" s="1"/>
      <c r="C1020" s="1"/>
      <c r="D1020" s="1"/>
      <c r="E1020" s="1"/>
      <c r="F1020" s="1"/>
      <c r="G1020" s="1"/>
      <c r="H1020" s="1"/>
      <c r="I1020" s="1"/>
      <c r="J1020" s="1"/>
      <c r="K1020" s="1"/>
    </row>
    <row r="1021" spans="1:11">
      <c r="A1021" s="1"/>
      <c r="B1021" s="1"/>
      <c r="C1021" s="1"/>
      <c r="D1021" s="1"/>
      <c r="E1021" s="1"/>
      <c r="F1021" s="1"/>
      <c r="G1021" s="1"/>
      <c r="H1021" s="1"/>
      <c r="I1021" s="1"/>
      <c r="J1021" s="1"/>
      <c r="K1021" s="1"/>
    </row>
  </sheetData>
  <mergeCells count="21">
    <mergeCell ref="B85:C85"/>
    <mergeCell ref="B86:C86"/>
    <mergeCell ref="B87:C87"/>
    <mergeCell ref="B88:G88"/>
    <mergeCell ref="B77:C77"/>
    <mergeCell ref="B78:C78"/>
    <mergeCell ref="B79:C79"/>
    <mergeCell ref="D79:D87"/>
    <mergeCell ref="F79:F87"/>
    <mergeCell ref="B80:C80"/>
    <mergeCell ref="B81:C81"/>
    <mergeCell ref="B75:C75"/>
    <mergeCell ref="B76:C76"/>
    <mergeCell ref="B82:C82"/>
    <mergeCell ref="B83:C83"/>
    <mergeCell ref="B84:C84"/>
    <mergeCell ref="F1:K2"/>
    <mergeCell ref="F3:K4"/>
    <mergeCell ref="A7:K7"/>
    <mergeCell ref="B69:K69"/>
    <mergeCell ref="B70:K7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H800"/>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2" width="10.85546875" customWidth="1"/>
    <col min="3" max="3" width="16.7109375" customWidth="1"/>
    <col min="4" max="4" width="12.42578125" customWidth="1"/>
    <col min="5" max="5" width="8" customWidth="1"/>
    <col min="6" max="6" width="32.42578125" customWidth="1"/>
    <col min="7" max="7" width="7.7109375" customWidth="1"/>
    <col min="8" max="8" width="23.42578125" customWidth="1"/>
  </cols>
  <sheetData>
    <row r="1" spans="1:8" ht="12" customHeight="1">
      <c r="A1" s="34"/>
      <c r="B1" s="35"/>
      <c r="C1" s="34"/>
      <c r="D1" s="34"/>
      <c r="E1" s="34"/>
      <c r="F1" s="126" t="s">
        <v>10</v>
      </c>
      <c r="G1" s="110"/>
      <c r="H1" s="110"/>
    </row>
    <row r="2" spans="1:8" ht="12" customHeight="1">
      <c r="A2" s="34"/>
      <c r="B2" s="35"/>
      <c r="C2" s="34"/>
      <c r="D2" s="34"/>
      <c r="E2" s="34"/>
      <c r="F2" s="114"/>
      <c r="G2" s="114"/>
      <c r="H2" s="114"/>
    </row>
    <row r="3" spans="1:8" ht="12" customHeight="1">
      <c r="A3" s="34"/>
      <c r="B3" s="35"/>
      <c r="C3" s="34"/>
      <c r="D3" s="34"/>
      <c r="E3" s="34"/>
      <c r="F3" s="127" t="s">
        <v>11</v>
      </c>
      <c r="G3" s="110"/>
      <c r="H3" s="110"/>
    </row>
    <row r="4" spans="1:8" ht="12" customHeight="1">
      <c r="A4" s="34"/>
      <c r="B4" s="35"/>
      <c r="C4" s="34"/>
      <c r="D4" s="34"/>
      <c r="E4" s="34"/>
      <c r="F4" s="110"/>
      <c r="G4" s="110"/>
      <c r="H4" s="110"/>
    </row>
    <row r="5" spans="1:8" ht="23.25">
      <c r="A5" s="34"/>
      <c r="B5" s="35"/>
      <c r="C5" s="34"/>
      <c r="D5" s="34"/>
      <c r="E5" s="34"/>
      <c r="F5" s="34"/>
      <c r="G5" s="34"/>
      <c r="H5" s="34"/>
    </row>
    <row r="6" spans="1:8" ht="23.25">
      <c r="A6" s="128" t="s">
        <v>76</v>
      </c>
      <c r="B6" s="110"/>
      <c r="C6" s="110"/>
      <c r="D6" s="110"/>
      <c r="E6" s="110"/>
      <c r="F6" s="110"/>
      <c r="G6" s="110"/>
      <c r="H6" s="110"/>
    </row>
    <row r="7" spans="1:8" ht="12.75">
      <c r="A7" s="36"/>
      <c r="B7" s="37"/>
      <c r="E7" s="38"/>
      <c r="G7" s="38"/>
    </row>
    <row r="8" spans="1:8" ht="33" customHeight="1">
      <c r="A8" s="129" t="s">
        <v>77</v>
      </c>
      <c r="B8" s="122"/>
      <c r="C8" s="122"/>
      <c r="D8" s="122"/>
      <c r="E8" s="122"/>
      <c r="F8" s="122"/>
      <c r="G8" s="122"/>
      <c r="H8" s="118"/>
    </row>
    <row r="9" spans="1:8" ht="12.75">
      <c r="A9" s="36"/>
      <c r="B9" s="37"/>
      <c r="E9" s="38"/>
      <c r="G9" s="38"/>
    </row>
    <row r="10" spans="1:8" ht="12.75">
      <c r="A10" s="39">
        <f ca="1">IFERROR(__xludf.DUMMYFUNCTION("IMPORTRANGE(""1qeeFCJCFKucGS14M4JpkDHd4OgBncP16-nnB1TgVYa4"",""AC!A10"")"),330)</f>
        <v>330</v>
      </c>
      <c r="B10" s="40" t="s">
        <v>78</v>
      </c>
      <c r="E10" s="38"/>
      <c r="F10" s="41"/>
      <c r="G10" s="42"/>
      <c r="H10" s="41" t="s">
        <v>79</v>
      </c>
    </row>
    <row r="11" spans="1:8" ht="12.75">
      <c r="A11" s="36"/>
      <c r="B11" s="37"/>
      <c r="E11" s="38"/>
      <c r="F11" s="41"/>
      <c r="G11" s="43"/>
      <c r="H11" s="43"/>
    </row>
    <row r="12" spans="1:8">
      <c r="A12" s="44" t="s">
        <v>80</v>
      </c>
      <c r="B12" s="45" t="s">
        <v>81</v>
      </c>
      <c r="C12" s="44" t="s">
        <v>82</v>
      </c>
      <c r="D12" s="44" t="s">
        <v>83</v>
      </c>
      <c r="E12" s="44" t="s">
        <v>84</v>
      </c>
      <c r="F12" s="44" t="s">
        <v>85</v>
      </c>
      <c r="G12" s="44" t="s">
        <v>86</v>
      </c>
      <c r="H12" s="44" t="s">
        <v>87</v>
      </c>
    </row>
    <row r="13" spans="1:8" ht="12.75">
      <c r="A13" s="46">
        <f ca="1">IFERROR(__xludf.DUMMYFUNCTION("IMPORTRANGE(""1qeeFCJCFKucGS14M4JpkDHd4OgBncP16-nnB1TgVYa4"",""AC!A13:G1500"")"),1)</f>
        <v>1</v>
      </c>
      <c r="B13" s="47" t="str">
        <f ca="1">IFERROR(__xludf.DUMMYFUNCTION("""COMPUTED_VALUE"""),"688172")</f>
        <v>688172</v>
      </c>
      <c r="C13" s="48" t="str">
        <f ca="1">IFERROR(__xludf.DUMMYFUNCTION("""COMPUTED_VALUE"""),"ABECASSIS")</f>
        <v>ABECASSIS</v>
      </c>
      <c r="D13" s="48" t="str">
        <f ca="1">IFERROR(__xludf.DUMMYFUNCTION("""COMPUTED_VALUE"""),"Jonathan")</f>
        <v>Jonathan</v>
      </c>
      <c r="E13" s="49" t="str">
        <f ca="1">IFERROR(__xludf.DUMMYFUNCTION("""COMPUTED_VALUE"""),"06680082")</f>
        <v>06680082</v>
      </c>
      <c r="F13" s="48" t="str">
        <f ca="1">IFERROR(__xludf.DUMMYFUNCTION("""COMPUTED_VALUE"""),"SAINT-LOUIS TT")</f>
        <v>SAINT-LOUIS TT</v>
      </c>
      <c r="G13" s="50" t="str">
        <f ca="1">IFERROR(__xludf.DUMMYFUNCTION("""COMPUTED_VALUE"""),"CD68")</f>
        <v>CD68</v>
      </c>
      <c r="H13" s="50" t="str">
        <f ca="1">IFERROR(__xludf.DUMMYFUNCTION("IMPORTRANGE(""1qeeFCJCFKucGS14M4JpkDHd4OgBncP16-nnB1TgVYa4"",""AC!I13:I1500"")"),"actif")</f>
        <v>actif</v>
      </c>
    </row>
    <row r="14" spans="1:8" ht="12.75">
      <c r="A14" s="46">
        <f ca="1">IFERROR(__xludf.DUMMYFUNCTION("""COMPUTED_VALUE"""),2)</f>
        <v>2</v>
      </c>
      <c r="B14" s="47" t="str">
        <f ca="1">IFERROR(__xludf.DUMMYFUNCTION("""COMPUTED_VALUE"""),"5726143")</f>
        <v>5726143</v>
      </c>
      <c r="C14" s="48" t="str">
        <f ca="1">IFERROR(__xludf.DUMMYFUNCTION("""COMPUTED_VALUE"""),"ALOI")</f>
        <v>ALOI</v>
      </c>
      <c r="D14" s="48" t="str">
        <f ca="1">IFERROR(__xludf.DUMMYFUNCTION("""COMPUTED_VALUE"""),"Natale Dit Noel")</f>
        <v>Natale Dit Noel</v>
      </c>
      <c r="E14" s="49" t="str">
        <f ca="1">IFERROR(__xludf.DUMMYFUNCTION("""COMPUTED_VALUE"""),"06570024")</f>
        <v>06570024</v>
      </c>
      <c r="F14" s="48" t="str">
        <f ca="1">IFERROR(__xludf.DUMMYFUNCTION("""COMPUTED_VALUE"""),"THIONVILLE Tennis de Table")</f>
        <v>THIONVILLE Tennis de Table</v>
      </c>
      <c r="G14" s="50" t="str">
        <f ca="1">IFERROR(__xludf.DUMMYFUNCTION("""COMPUTED_VALUE"""),"CD57")</f>
        <v>CD57</v>
      </c>
      <c r="H14" s="50" t="str">
        <f ca="1">IFERROR(__xludf.DUMMYFUNCTION("""COMPUTED_VALUE"""),"actif")</f>
        <v>actif</v>
      </c>
    </row>
    <row r="15" spans="1:8" ht="12.75">
      <c r="A15" s="46">
        <f ca="1">IFERROR(__xludf.DUMMYFUNCTION("""COMPUTED_VALUE"""),3)</f>
        <v>3</v>
      </c>
      <c r="B15" s="47" t="str">
        <f ca="1">IFERROR(__xludf.DUMMYFUNCTION("""COMPUTED_VALUE"""),"689491")</f>
        <v>689491</v>
      </c>
      <c r="C15" s="48" t="str">
        <f ca="1">IFERROR(__xludf.DUMMYFUNCTION("""COMPUTED_VALUE"""),"ALTHERR")</f>
        <v>ALTHERR</v>
      </c>
      <c r="D15" s="48" t="str">
        <f ca="1">IFERROR(__xludf.DUMMYFUNCTION("""COMPUTED_VALUE"""),"Loic")</f>
        <v>Loic</v>
      </c>
      <c r="E15" s="49" t="str">
        <f ca="1">IFERROR(__xludf.DUMMYFUNCTION("""COMPUTED_VALUE"""),"06680120")</f>
        <v>06680120</v>
      </c>
      <c r="F15" s="48" t="str">
        <f ca="1">IFERROR(__xludf.DUMMYFUNCTION("""COMPUTED_VALUE"""),"ANDOLSHEIM Tennis de Table")</f>
        <v>ANDOLSHEIM Tennis de Table</v>
      </c>
      <c r="G15" s="50" t="str">
        <f ca="1">IFERROR(__xludf.DUMMYFUNCTION("""COMPUTED_VALUE"""),"CD68")</f>
        <v>CD68</v>
      </c>
      <c r="H15" s="50" t="str">
        <f ca="1">IFERROR(__xludf.DUMMYFUNCTION("""COMPUTED_VALUE"""),"actif")</f>
        <v>actif</v>
      </c>
    </row>
    <row r="16" spans="1:8" ht="12.75">
      <c r="A16" s="46">
        <f ca="1">IFERROR(__xludf.DUMMYFUNCTION("""COMPUTED_VALUE"""),4)</f>
        <v>4</v>
      </c>
      <c r="B16" s="47" t="str">
        <f ca="1">IFERROR(__xludf.DUMMYFUNCTION("""COMPUTED_VALUE"""),"103728")</f>
        <v>103728</v>
      </c>
      <c r="C16" s="48" t="str">
        <f ca="1">IFERROR(__xludf.DUMMYFUNCTION("""COMPUTED_VALUE"""),"AMGHAR")</f>
        <v>AMGHAR</v>
      </c>
      <c r="D16" s="48" t="str">
        <f ca="1">IFERROR(__xludf.DUMMYFUNCTION("""COMPUTED_VALUE"""),"Cedric")</f>
        <v>Cedric</v>
      </c>
      <c r="E16" s="49" t="str">
        <f ca="1">IFERROR(__xludf.DUMMYFUNCTION("""COMPUTED_VALUE"""),"06100040")</f>
        <v>06100040</v>
      </c>
      <c r="F16" s="48" t="str">
        <f ca="1">IFERROR(__xludf.DUMMYFUNCTION("""COMPUTED_VALUE"""),"ROMILLY-VILLENAUXE CAP")</f>
        <v>ROMILLY-VILLENAUXE CAP</v>
      </c>
      <c r="G16" s="50" t="str">
        <f ca="1">IFERROR(__xludf.DUMMYFUNCTION("""COMPUTED_VALUE"""),"CD10")</f>
        <v>CD10</v>
      </c>
      <c r="H16" s="50" t="str">
        <f ca="1">IFERROR(__xludf.DUMMYFUNCTION("""COMPUTED_VALUE"""),"actif")</f>
        <v>actif</v>
      </c>
    </row>
    <row r="17" spans="1:8" ht="12.75">
      <c r="A17" s="46">
        <f ca="1">IFERROR(__xludf.DUMMYFUNCTION("""COMPUTED_VALUE"""),5)</f>
        <v>5</v>
      </c>
      <c r="B17" s="47" t="str">
        <f ca="1">IFERROR(__xludf.DUMMYFUNCTION("""COMPUTED_VALUE"""),"517497")</f>
        <v>517497</v>
      </c>
      <c r="C17" s="48" t="str">
        <f ca="1">IFERROR(__xludf.DUMMYFUNCTION("""COMPUTED_VALUE"""),"ANDRE")</f>
        <v>ANDRE</v>
      </c>
      <c r="D17" s="48" t="str">
        <f ca="1">IFERROR(__xludf.DUMMYFUNCTION("""COMPUTED_VALUE"""),"Blandine")</f>
        <v>Blandine</v>
      </c>
      <c r="E17" s="49" t="str">
        <f ca="1">IFERROR(__xludf.DUMMYFUNCTION("""COMPUTED_VALUE"""),"06510064")</f>
        <v>06510064</v>
      </c>
      <c r="F17" s="48" t="str">
        <f ca="1">IFERROR(__xludf.DUMMYFUNCTION("""COMPUTED_VALUE"""),"SERMAIZE Les Jeunes")</f>
        <v>SERMAIZE Les Jeunes</v>
      </c>
      <c r="G17" s="50" t="str">
        <f ca="1">IFERROR(__xludf.DUMMYFUNCTION("""COMPUTED_VALUE"""),"CD51")</f>
        <v>CD51</v>
      </c>
      <c r="H17" s="50" t="str">
        <f ca="1">IFERROR(__xludf.DUMMYFUNCTION("""COMPUTED_VALUE"""),"actif")</f>
        <v>actif</v>
      </c>
    </row>
    <row r="18" spans="1:8" ht="12.75">
      <c r="A18" s="46">
        <f ca="1">IFERROR(__xludf.DUMMYFUNCTION("""COMPUTED_VALUE"""),6)</f>
        <v>6</v>
      </c>
      <c r="B18" s="47" t="str">
        <f ca="1">IFERROR(__xludf.DUMMYFUNCTION("""COMPUTED_VALUE"""),"5732614")</f>
        <v>5732614</v>
      </c>
      <c r="C18" s="48" t="str">
        <f ca="1">IFERROR(__xludf.DUMMYFUNCTION("""COMPUTED_VALUE"""),"ANSELME")</f>
        <v>ANSELME</v>
      </c>
      <c r="D18" s="48" t="str">
        <f ca="1">IFERROR(__xludf.DUMMYFUNCTION("""COMPUTED_VALUE"""),"Jules")</f>
        <v>Jules</v>
      </c>
      <c r="E18" s="49" t="str">
        <f ca="1">IFERROR(__xludf.DUMMYFUNCTION("""COMPUTED_VALUE"""),"06570190")</f>
        <v>06570190</v>
      </c>
      <c r="F18" s="48" t="str">
        <f ca="1">IFERROR(__xludf.DUMMYFUNCTION("""COMPUTED_VALUE"""),"METZ Tennis de Table")</f>
        <v>METZ Tennis de Table</v>
      </c>
      <c r="G18" s="50" t="str">
        <f ca="1">IFERROR(__xludf.DUMMYFUNCTION("""COMPUTED_VALUE"""),"CD57")</f>
        <v>CD57</v>
      </c>
      <c r="H18" s="50" t="str">
        <f ca="1">IFERROR(__xludf.DUMMYFUNCTION("""COMPUTED_VALUE"""),"actif")</f>
        <v>actif</v>
      </c>
    </row>
    <row r="19" spans="1:8" ht="12.75">
      <c r="A19" s="46">
        <f ca="1">IFERROR(__xludf.DUMMYFUNCTION("""COMPUTED_VALUE"""),7)</f>
        <v>7</v>
      </c>
      <c r="B19" s="47" t="str">
        <f ca="1">IFERROR(__xludf.DUMMYFUNCTION("""COMPUTED_VALUE"""),"8818901")</f>
        <v>8818901</v>
      </c>
      <c r="C19" s="48" t="str">
        <f ca="1">IFERROR(__xludf.DUMMYFUNCTION("""COMPUTED_VALUE"""),"ARNOULD")</f>
        <v>ARNOULD</v>
      </c>
      <c r="D19" s="48" t="str">
        <f ca="1">IFERROR(__xludf.DUMMYFUNCTION("""COMPUTED_VALUE"""),"Julie")</f>
        <v>Julie</v>
      </c>
      <c r="E19" s="49" t="str">
        <f ca="1">IFERROR(__xludf.DUMMYFUNCTION("""COMPUTED_VALUE"""),"06880123")</f>
        <v>06880123</v>
      </c>
      <c r="F19" s="48" t="str">
        <f ca="1">IFERROR(__xludf.DUMMYFUNCTION("""COMPUTED_VALUE"""),"ETIVAL ASRTT")</f>
        <v>ETIVAL ASRTT</v>
      </c>
      <c r="G19" s="50" t="str">
        <f ca="1">IFERROR(__xludf.DUMMYFUNCTION("""COMPUTED_VALUE"""),"CD88")</f>
        <v>CD88</v>
      </c>
      <c r="H19" s="50" t="str">
        <f ca="1">IFERROR(__xludf.DUMMYFUNCTION("""COMPUTED_VALUE"""),"actif")</f>
        <v>actif</v>
      </c>
    </row>
    <row r="20" spans="1:8" ht="12.75">
      <c r="A20" s="46">
        <f ca="1">IFERROR(__xludf.DUMMYFUNCTION("""COMPUTED_VALUE"""),8)</f>
        <v>8</v>
      </c>
      <c r="B20" s="47" t="str">
        <f ca="1">IFERROR(__xludf.DUMMYFUNCTION("""COMPUTED_VALUE"""),"5426585")</f>
        <v>5426585</v>
      </c>
      <c r="C20" s="48" t="str">
        <f ca="1">IFERROR(__xludf.DUMMYFUNCTION("""COMPUTED_VALUE"""),"ARON")</f>
        <v>ARON</v>
      </c>
      <c r="D20" s="48" t="str">
        <f ca="1">IFERROR(__xludf.DUMMYFUNCTION("""COMPUTED_VALUE"""),"Christophe")</f>
        <v>Christophe</v>
      </c>
      <c r="E20" s="49" t="str">
        <f ca="1">IFERROR(__xludf.DUMMYFUNCTION("""COMPUTED_VALUE"""),"06550058")</f>
        <v>06550058</v>
      </c>
      <c r="F20" s="48" t="str">
        <f ca="1">IFERROR(__xludf.DUMMYFUNCTION("""COMPUTED_VALUE"""),"Les Loups de DAMVILLERS ASTT ")</f>
        <v xml:space="preserve">Les Loups de DAMVILLERS ASTT </v>
      </c>
      <c r="G20" s="50" t="str">
        <f ca="1">IFERROR(__xludf.DUMMYFUNCTION("""COMPUTED_VALUE"""),"CD55")</f>
        <v>CD55</v>
      </c>
      <c r="H20" s="50" t="str">
        <f ca="1">IFERROR(__xludf.DUMMYFUNCTION("""COMPUTED_VALUE"""),"actif")</f>
        <v>actif</v>
      </c>
    </row>
    <row r="21" spans="1:8" ht="12.75">
      <c r="A21" s="46">
        <f ca="1">IFERROR(__xludf.DUMMYFUNCTION("""COMPUTED_VALUE"""),9)</f>
        <v>9</v>
      </c>
      <c r="B21" s="47" t="str">
        <f ca="1">IFERROR(__xludf.DUMMYFUNCTION("""COMPUTED_VALUE"""),"5426602")</f>
        <v>5426602</v>
      </c>
      <c r="C21" s="48" t="str">
        <f ca="1">IFERROR(__xludf.DUMMYFUNCTION("""COMPUTED_VALUE"""),"BANNEROT")</f>
        <v>BANNEROT</v>
      </c>
      <c r="D21" s="48" t="str">
        <f ca="1">IFERROR(__xludf.DUMMYFUNCTION("""COMPUTED_VALUE"""),"Erwan")</f>
        <v>Erwan</v>
      </c>
      <c r="E21" s="49" t="str">
        <f ca="1">IFERROR(__xludf.DUMMYFUNCTION("""COMPUTED_VALUE"""),"06540021")</f>
        <v>06540021</v>
      </c>
      <c r="F21" s="48" t="str">
        <f ca="1">IFERROR(__xludf.DUMMYFUNCTION("""COMPUTED_VALUE"""),"LUNEVILLE A.L.T.T.")</f>
        <v>LUNEVILLE A.L.T.T.</v>
      </c>
      <c r="G21" s="50" t="str">
        <f ca="1">IFERROR(__xludf.DUMMYFUNCTION("""COMPUTED_VALUE"""),"CD54")</f>
        <v>CD54</v>
      </c>
      <c r="H21" s="50" t="str">
        <f ca="1">IFERROR(__xludf.DUMMYFUNCTION("""COMPUTED_VALUE"""),"actif")</f>
        <v>actif</v>
      </c>
    </row>
    <row r="22" spans="1:8" ht="12.75">
      <c r="A22" s="46">
        <f ca="1">IFERROR(__xludf.DUMMYFUNCTION("""COMPUTED_VALUE"""),10)</f>
        <v>10</v>
      </c>
      <c r="B22" s="47" t="str">
        <f ca="1">IFERROR(__xludf.DUMMYFUNCTION("""COMPUTED_VALUE"""),"6717422")</f>
        <v>6717422</v>
      </c>
      <c r="C22" s="48" t="str">
        <f ca="1">IFERROR(__xludf.DUMMYFUNCTION("""COMPUTED_VALUE"""),"BANTZ")</f>
        <v>BANTZ</v>
      </c>
      <c r="D22" s="48" t="str">
        <f ca="1">IFERROR(__xludf.DUMMYFUNCTION("""COMPUTED_VALUE"""),"Valentin")</f>
        <v>Valentin</v>
      </c>
      <c r="E22" s="49" t="str">
        <f ca="1">IFERROR(__xludf.DUMMYFUNCTION("""COMPUTED_VALUE"""),"06670010")</f>
        <v>06670010</v>
      </c>
      <c r="F22" s="48" t="str">
        <f ca="1">IFERROR(__xludf.DUMMYFUNCTION("""COMPUTED_VALUE"""),"SCHILTIGHEIM SU TT")</f>
        <v>SCHILTIGHEIM SU TT</v>
      </c>
      <c r="G22" s="50" t="str">
        <f ca="1">IFERROR(__xludf.DUMMYFUNCTION("""COMPUTED_VALUE"""),"CD67")</f>
        <v>CD67</v>
      </c>
      <c r="H22" s="50" t="str">
        <f ca="1">IFERROR(__xludf.DUMMYFUNCTION("""COMPUTED_VALUE"""),"actif")</f>
        <v>actif</v>
      </c>
    </row>
    <row r="23" spans="1:8" ht="12.75">
      <c r="A23" s="46">
        <f ca="1">IFERROR(__xludf.DUMMYFUNCTION("""COMPUTED_VALUE"""),11)</f>
        <v>11</v>
      </c>
      <c r="B23" s="47" t="str">
        <f ca="1">IFERROR(__xludf.DUMMYFUNCTION("""COMPUTED_VALUE"""),"5433070")</f>
        <v>5433070</v>
      </c>
      <c r="C23" s="48" t="str">
        <f ca="1">IFERROR(__xludf.DUMMYFUNCTION("""COMPUTED_VALUE"""),"BARBELIN")</f>
        <v>BARBELIN</v>
      </c>
      <c r="D23" s="48" t="str">
        <f ca="1">IFERROR(__xludf.DUMMYFUNCTION("""COMPUTED_VALUE"""),"Alexandre")</f>
        <v>Alexandre</v>
      </c>
      <c r="E23" s="49" t="str">
        <f ca="1">IFERROR(__xludf.DUMMYFUNCTION("""COMPUTED_VALUE"""),"06540021")</f>
        <v>06540021</v>
      </c>
      <c r="F23" s="48" t="str">
        <f ca="1">IFERROR(__xludf.DUMMYFUNCTION("""COMPUTED_VALUE"""),"LUNEVILLE A.L.T.T.")</f>
        <v>LUNEVILLE A.L.T.T.</v>
      </c>
      <c r="G23" s="50" t="str">
        <f ca="1">IFERROR(__xludf.DUMMYFUNCTION("""COMPUTED_VALUE"""),"CD54")</f>
        <v>CD54</v>
      </c>
      <c r="H23" s="50" t="str">
        <f ca="1">IFERROR(__xludf.DUMMYFUNCTION("""COMPUTED_VALUE"""),"actif")</f>
        <v>actif</v>
      </c>
    </row>
    <row r="24" spans="1:8" ht="12.75">
      <c r="A24" s="46">
        <f ca="1">IFERROR(__xludf.DUMMYFUNCTION("""COMPUTED_VALUE"""),12)</f>
        <v>12</v>
      </c>
      <c r="B24" s="47" t="str">
        <f ca="1">IFERROR(__xludf.DUMMYFUNCTION("""COMPUTED_VALUE"""),"5436322")</f>
        <v>5436322</v>
      </c>
      <c r="C24" s="48" t="str">
        <f ca="1">IFERROR(__xludf.DUMMYFUNCTION("""COMPUTED_VALUE"""),"BARBIER GEORGES")</f>
        <v>BARBIER GEORGES</v>
      </c>
      <c r="D24" s="48" t="str">
        <f ca="1">IFERROR(__xludf.DUMMYFUNCTION("""COMPUTED_VALUE"""),"Gabriel")</f>
        <v>Gabriel</v>
      </c>
      <c r="E24" s="49" t="str">
        <f ca="1">IFERROR(__xludf.DUMMYFUNCTION("""COMPUTED_VALUE"""),"06540040")</f>
        <v>06540040</v>
      </c>
      <c r="F24" s="48" t="str">
        <f ca="1">IFERROR(__xludf.DUMMYFUNCTION("""COMPUTED_VALUE"""),"VILLERS LES NANCY C.O.S.")</f>
        <v>VILLERS LES NANCY C.O.S.</v>
      </c>
      <c r="G24" s="50" t="str">
        <f ca="1">IFERROR(__xludf.DUMMYFUNCTION("""COMPUTED_VALUE"""),"CD54")</f>
        <v>CD54</v>
      </c>
      <c r="H24" s="50" t="str">
        <f ca="1">IFERROR(__xludf.DUMMYFUNCTION("""COMPUTED_VALUE"""),"actif")</f>
        <v>actif</v>
      </c>
    </row>
    <row r="25" spans="1:8" ht="12.75">
      <c r="A25" s="46">
        <f ca="1">IFERROR(__xludf.DUMMYFUNCTION("""COMPUTED_VALUE"""),13)</f>
        <v>13</v>
      </c>
      <c r="B25" s="47" t="str">
        <f ca="1">IFERROR(__xludf.DUMMYFUNCTION("""COMPUTED_VALUE"""),"6814192")</f>
        <v>6814192</v>
      </c>
      <c r="C25" s="48" t="str">
        <f ca="1">IFERROR(__xludf.DUMMYFUNCTION("""COMPUTED_VALUE"""),"BARLINGE")</f>
        <v>BARLINGE</v>
      </c>
      <c r="D25" s="48" t="str">
        <f ca="1">IFERROR(__xludf.DUMMYFUNCTION("""COMPUTED_VALUE"""),"Virginie")</f>
        <v>Virginie</v>
      </c>
      <c r="E25" s="49" t="str">
        <f ca="1">IFERROR(__xludf.DUMMYFUNCTION("""COMPUTED_VALUE"""),"06680105")</f>
        <v>06680105</v>
      </c>
      <c r="F25" s="48" t="str">
        <f ca="1">IFERROR(__xludf.DUMMYFUNCTION("""COMPUTED_VALUE"""),"MULHOUSE TENNIS DE TABLE")</f>
        <v>MULHOUSE TENNIS DE TABLE</v>
      </c>
      <c r="G25" s="50" t="str">
        <f ca="1">IFERROR(__xludf.DUMMYFUNCTION("""COMPUTED_VALUE"""),"CD68")</f>
        <v>CD68</v>
      </c>
      <c r="H25" s="50" t="str">
        <f ca="1">IFERROR(__xludf.DUMMYFUNCTION("""COMPUTED_VALUE"""),"actif")</f>
        <v>actif</v>
      </c>
    </row>
    <row r="26" spans="1:8" ht="12.75">
      <c r="A26" s="46">
        <f ca="1">IFERROR(__xludf.DUMMYFUNCTION("""COMPUTED_VALUE"""),14)</f>
        <v>14</v>
      </c>
      <c r="B26" s="47" t="str">
        <f ca="1">IFERROR(__xludf.DUMMYFUNCTION("""COMPUTED_VALUE"""),"5726247")</f>
        <v>5726247</v>
      </c>
      <c r="C26" s="48" t="str">
        <f ca="1">IFERROR(__xludf.DUMMYFUNCTION("""COMPUTED_VALUE"""),"BARRAGAN")</f>
        <v>BARRAGAN</v>
      </c>
      <c r="D26" s="48" t="str">
        <f ca="1">IFERROR(__xludf.DUMMYFUNCTION("""COMPUTED_VALUE"""),"Alex")</f>
        <v>Alex</v>
      </c>
      <c r="E26" s="49" t="str">
        <f ca="1">IFERROR(__xludf.DUMMYFUNCTION("""COMPUTED_VALUE"""),"06540032")</f>
        <v>06540032</v>
      </c>
      <c r="F26" s="48" t="str">
        <f ca="1">IFERROR(__xludf.DUMMYFUNCTION("""COMPUTED_VALUE"""),"NEUVES MAISONS TT")</f>
        <v>NEUVES MAISONS TT</v>
      </c>
      <c r="G26" s="50" t="str">
        <f ca="1">IFERROR(__xludf.DUMMYFUNCTION("""COMPUTED_VALUE"""),"CD54")</f>
        <v>CD54</v>
      </c>
      <c r="H26" s="50" t="str">
        <f ca="1">IFERROR(__xludf.DUMMYFUNCTION("""COMPUTED_VALUE"""),"actif")</f>
        <v>actif</v>
      </c>
    </row>
    <row r="27" spans="1:8" ht="12.75">
      <c r="A27" s="46">
        <f ca="1">IFERROR(__xludf.DUMMYFUNCTION("""COMPUTED_VALUE"""),15)</f>
        <v>15</v>
      </c>
      <c r="B27" s="47" t="str">
        <f ca="1">IFERROR(__xludf.DUMMYFUNCTION("""COMPUTED_VALUE"""),"555580")</f>
        <v>555580</v>
      </c>
      <c r="C27" s="48" t="str">
        <f ca="1">IFERROR(__xludf.DUMMYFUNCTION("""COMPUTED_VALUE"""),"BARROIS")</f>
        <v>BARROIS</v>
      </c>
      <c r="D27" s="48" t="str">
        <f ca="1">IFERROR(__xludf.DUMMYFUNCTION("""COMPUTED_VALUE"""),"Damien")</f>
        <v>Damien</v>
      </c>
      <c r="E27" s="49" t="str">
        <f ca="1">IFERROR(__xludf.DUMMYFUNCTION("""COMPUTED_VALUE"""),"06550003")</f>
        <v>06550003</v>
      </c>
      <c r="F27" s="48" t="str">
        <f ca="1">IFERROR(__xludf.DUMMYFUNCTION("""COMPUTED_VALUE"""),"COMMERCY P.P.C.")</f>
        <v>COMMERCY P.P.C.</v>
      </c>
      <c r="G27" s="50" t="str">
        <f ca="1">IFERROR(__xludf.DUMMYFUNCTION("""COMPUTED_VALUE"""),"CD55")</f>
        <v>CD55</v>
      </c>
      <c r="H27" s="50" t="str">
        <f ca="1">IFERROR(__xludf.DUMMYFUNCTION("""COMPUTED_VALUE"""),"actif")</f>
        <v>actif</v>
      </c>
    </row>
    <row r="28" spans="1:8" ht="12.75">
      <c r="A28" s="46">
        <f ca="1">IFERROR(__xludf.DUMMYFUNCTION("""COMPUTED_VALUE"""),16)</f>
        <v>16</v>
      </c>
      <c r="B28" s="47" t="str">
        <f ca="1">IFERROR(__xludf.DUMMYFUNCTION("""COMPUTED_VALUE"""),"5733135")</f>
        <v>5733135</v>
      </c>
      <c r="C28" s="48" t="str">
        <f ca="1">IFERROR(__xludf.DUMMYFUNCTION("""COMPUTED_VALUE"""),"BARROIS")</f>
        <v>BARROIS</v>
      </c>
      <c r="D28" s="48" t="str">
        <f ca="1">IFERROR(__xludf.DUMMYFUNCTION("""COMPUTED_VALUE"""),"Mathieu")</f>
        <v>Mathieu</v>
      </c>
      <c r="E28" s="49" t="str">
        <f ca="1">IFERROR(__xludf.DUMMYFUNCTION("""COMPUTED_VALUE"""),"06570073")</f>
        <v>06570073</v>
      </c>
      <c r="F28" s="48" t="str">
        <f ca="1">IFERROR(__xludf.DUMMYFUNCTION("""COMPUTED_VALUE"""),"TERVILLE Tennis de Table")</f>
        <v>TERVILLE Tennis de Table</v>
      </c>
      <c r="G28" s="50" t="str">
        <f ca="1">IFERROR(__xludf.DUMMYFUNCTION("""COMPUTED_VALUE"""),"CD57")</f>
        <v>CD57</v>
      </c>
      <c r="H28" s="50" t="str">
        <f ca="1">IFERROR(__xludf.DUMMYFUNCTION("""COMPUTED_VALUE"""),"actif")</f>
        <v>actif</v>
      </c>
    </row>
    <row r="29" spans="1:8" ht="12.75">
      <c r="A29" s="46">
        <f ca="1">IFERROR(__xludf.DUMMYFUNCTION("""COMPUTED_VALUE"""),17)</f>
        <v>17</v>
      </c>
      <c r="B29" s="47" t="str">
        <f ca="1">IFERROR(__xludf.DUMMYFUNCTION("""COMPUTED_VALUE"""),"5733821")</f>
        <v>5733821</v>
      </c>
      <c r="C29" s="48" t="str">
        <f ca="1">IFERROR(__xludf.DUMMYFUNCTION("""COMPUTED_VALUE"""),"BARROIS")</f>
        <v>BARROIS</v>
      </c>
      <c r="D29" s="48" t="str">
        <f ca="1">IFERROR(__xludf.DUMMYFUNCTION("""COMPUTED_VALUE"""),"Pascal")</f>
        <v>Pascal</v>
      </c>
      <c r="E29" s="49" t="str">
        <f ca="1">IFERROR(__xludf.DUMMYFUNCTION("""COMPUTED_VALUE"""),"06570073")</f>
        <v>06570073</v>
      </c>
      <c r="F29" s="48" t="str">
        <f ca="1">IFERROR(__xludf.DUMMYFUNCTION("""COMPUTED_VALUE"""),"TERVILLE Tennis de Table")</f>
        <v>TERVILLE Tennis de Table</v>
      </c>
      <c r="G29" s="50" t="str">
        <f ca="1">IFERROR(__xludf.DUMMYFUNCTION("""COMPUTED_VALUE"""),"CD57")</f>
        <v>CD57</v>
      </c>
      <c r="H29" s="50" t="str">
        <f ca="1">IFERROR(__xludf.DUMMYFUNCTION("""COMPUTED_VALUE"""),"actif")</f>
        <v>actif</v>
      </c>
    </row>
    <row r="30" spans="1:8" ht="12.75">
      <c r="A30" s="46">
        <f ca="1">IFERROR(__xludf.DUMMYFUNCTION("""COMPUTED_VALUE"""),18)</f>
        <v>18</v>
      </c>
      <c r="B30" s="47" t="str">
        <f ca="1">IFERROR(__xludf.DUMMYFUNCTION("""COMPUTED_VALUE"""),"5722954")</f>
        <v>5722954</v>
      </c>
      <c r="C30" s="48" t="str">
        <f ca="1">IFERROR(__xludf.DUMMYFUNCTION("""COMPUTED_VALUE"""),"BARTOLOMUCCI")</f>
        <v>BARTOLOMUCCI</v>
      </c>
      <c r="D30" s="48" t="str">
        <f ca="1">IFERROR(__xludf.DUMMYFUNCTION("""COMPUTED_VALUE"""),"Julian")</f>
        <v>Julian</v>
      </c>
      <c r="E30" s="49" t="str">
        <f ca="1">IFERROR(__xludf.DUMMYFUNCTION("""COMPUTED_VALUE"""),"06570073")</f>
        <v>06570073</v>
      </c>
      <c r="F30" s="48" t="str">
        <f ca="1">IFERROR(__xludf.DUMMYFUNCTION("""COMPUTED_VALUE"""),"TERVILLE Tennis de Table")</f>
        <v>TERVILLE Tennis de Table</v>
      </c>
      <c r="G30" s="50" t="str">
        <f ca="1">IFERROR(__xludf.DUMMYFUNCTION("""COMPUTED_VALUE"""),"CD57")</f>
        <v>CD57</v>
      </c>
      <c r="H30" s="50" t="str">
        <f ca="1">IFERROR(__xludf.DUMMYFUNCTION("""COMPUTED_VALUE"""),"actif")</f>
        <v>actif</v>
      </c>
    </row>
    <row r="31" spans="1:8" ht="12.75">
      <c r="A31" s="46">
        <f ca="1">IFERROR(__xludf.DUMMYFUNCTION("""COMPUTED_VALUE"""),19)</f>
        <v>19</v>
      </c>
      <c r="B31" s="47" t="str">
        <f ca="1">IFERROR(__xludf.DUMMYFUNCTION("""COMPUTED_VALUE"""),"553730")</f>
        <v>553730</v>
      </c>
      <c r="C31" s="48" t="str">
        <f ca="1">IFERROR(__xludf.DUMMYFUNCTION("""COMPUTED_VALUE"""),"BELNATO")</f>
        <v>BELNATO</v>
      </c>
      <c r="D31" s="48" t="str">
        <f ca="1">IFERROR(__xludf.DUMMYFUNCTION("""COMPUTED_VALUE"""),"Julien")</f>
        <v>Julien</v>
      </c>
      <c r="E31" s="49" t="str">
        <f ca="1">IFERROR(__xludf.DUMMYFUNCTION("""COMPUTED_VALUE"""),"06550013")</f>
        <v>06550013</v>
      </c>
      <c r="F31" s="48" t="str">
        <f ca="1">IFERROR(__xludf.DUMMYFUNCTION("""COMPUTED_VALUE"""),"VERDUN S.A.V.T.T.")</f>
        <v>VERDUN S.A.V.T.T.</v>
      </c>
      <c r="G31" s="50" t="str">
        <f ca="1">IFERROR(__xludf.DUMMYFUNCTION("""COMPUTED_VALUE"""),"CD55")</f>
        <v>CD55</v>
      </c>
      <c r="H31" s="50" t="str">
        <f ca="1">IFERROR(__xludf.DUMMYFUNCTION("""COMPUTED_VALUE"""),"actif")</f>
        <v>actif</v>
      </c>
    </row>
    <row r="32" spans="1:8" ht="12.75">
      <c r="A32" s="46">
        <f ca="1">IFERROR(__xludf.DUMMYFUNCTION("""COMPUTED_VALUE"""),20)</f>
        <v>20</v>
      </c>
      <c r="B32" s="47" t="str">
        <f ca="1">IFERROR(__xludf.DUMMYFUNCTION("""COMPUTED_VALUE"""),"5432523")</f>
        <v>5432523</v>
      </c>
      <c r="C32" s="48" t="str">
        <f ca="1">IFERROR(__xludf.DUMMYFUNCTION("""COMPUTED_VALUE"""),"BELTRAMO")</f>
        <v>BELTRAMO</v>
      </c>
      <c r="D32" s="48" t="str">
        <f ca="1">IFERROR(__xludf.DUMMYFUNCTION("""COMPUTED_VALUE"""),"Jules")</f>
        <v>Jules</v>
      </c>
      <c r="E32" s="49" t="str">
        <f ca="1">IFERROR(__xludf.DUMMYFUNCTION("""COMPUTED_VALUE"""),"06540040")</f>
        <v>06540040</v>
      </c>
      <c r="F32" s="48" t="str">
        <f ca="1">IFERROR(__xludf.DUMMYFUNCTION("""COMPUTED_VALUE"""),"VILLERS LES NANCY C.O.S.")</f>
        <v>VILLERS LES NANCY C.O.S.</v>
      </c>
      <c r="G32" s="50" t="str">
        <f ca="1">IFERROR(__xludf.DUMMYFUNCTION("""COMPUTED_VALUE"""),"CD54")</f>
        <v>CD54</v>
      </c>
      <c r="H32" s="50" t="str">
        <f ca="1">IFERROR(__xludf.DUMMYFUNCTION("""COMPUTED_VALUE"""),"actif")</f>
        <v>actif</v>
      </c>
    </row>
    <row r="33" spans="1:8" ht="12.75">
      <c r="A33" s="46">
        <f ca="1">IFERROR(__xludf.DUMMYFUNCTION("""COMPUTED_VALUE"""),21)</f>
        <v>21</v>
      </c>
      <c r="B33" s="47" t="str">
        <f ca="1">IFERROR(__xludf.DUMMYFUNCTION("""COMPUTED_VALUE"""),"2210890")</f>
        <v>2210890</v>
      </c>
      <c r="C33" s="48" t="str">
        <f ca="1">IFERROR(__xludf.DUMMYFUNCTION("""COMPUTED_VALUE"""),"BERRINI")</f>
        <v>BERRINI</v>
      </c>
      <c r="D33" s="48" t="str">
        <f ca="1">IFERROR(__xludf.DUMMYFUNCTION("""COMPUTED_VALUE"""),"Soya")</f>
        <v>Soya</v>
      </c>
      <c r="E33" s="49" t="str">
        <f ca="1">IFERROR(__xludf.DUMMYFUNCTION("""COMPUTED_VALUE"""),"06520001")</f>
        <v>06520001</v>
      </c>
      <c r="F33" s="48" t="str">
        <f ca="1">IFERROR(__xludf.DUMMYFUNCTION("""COMPUTED_VALUE"""),"ST DIZIER CSB")</f>
        <v>ST DIZIER CSB</v>
      </c>
      <c r="G33" s="50" t="str">
        <f ca="1">IFERROR(__xludf.DUMMYFUNCTION("""COMPUTED_VALUE"""),"CD52")</f>
        <v>CD52</v>
      </c>
      <c r="H33" s="50" t="str">
        <f ca="1">IFERROR(__xludf.DUMMYFUNCTION("""COMPUTED_VALUE"""),"actif")</f>
        <v>actif</v>
      </c>
    </row>
    <row r="34" spans="1:8" ht="12.75">
      <c r="A34" s="46">
        <f ca="1">IFERROR(__xludf.DUMMYFUNCTION("""COMPUTED_VALUE"""),22)</f>
        <v>22</v>
      </c>
      <c r="B34" s="47" t="str">
        <f ca="1">IFERROR(__xludf.DUMMYFUNCTION("""COMPUTED_VALUE"""),"557801")</f>
        <v>557801</v>
      </c>
      <c r="C34" s="48" t="str">
        <f ca="1">IFERROR(__xludf.DUMMYFUNCTION("""COMPUTED_VALUE"""),"BERTHEMIN")</f>
        <v>BERTHEMIN</v>
      </c>
      <c r="D34" s="48" t="str">
        <f ca="1">IFERROR(__xludf.DUMMYFUNCTION("""COMPUTED_VALUE"""),"Dorian")</f>
        <v>Dorian</v>
      </c>
      <c r="E34" s="49" t="str">
        <f ca="1">IFERROR(__xludf.DUMMYFUNCTION("""COMPUTED_VALUE"""),"06570070")</f>
        <v>06570070</v>
      </c>
      <c r="F34" s="48" t="str">
        <f ca="1">IFERROR(__xludf.DUMMYFUNCTION("""COMPUTED_VALUE"""),"AMNEVILLE Tennis de Table")</f>
        <v>AMNEVILLE Tennis de Table</v>
      </c>
      <c r="G34" s="50" t="str">
        <f ca="1">IFERROR(__xludf.DUMMYFUNCTION("""COMPUTED_VALUE"""),"CD57")</f>
        <v>CD57</v>
      </c>
      <c r="H34" s="50" t="str">
        <f ca="1">IFERROR(__xludf.DUMMYFUNCTION("""COMPUTED_VALUE"""),"actif")</f>
        <v>actif</v>
      </c>
    </row>
    <row r="35" spans="1:8" ht="12.75">
      <c r="A35" s="46">
        <f ca="1">IFERROR(__xludf.DUMMYFUNCTION("""COMPUTED_VALUE"""),23)</f>
        <v>23</v>
      </c>
      <c r="B35" s="47" t="str">
        <f ca="1">IFERROR(__xludf.DUMMYFUNCTION("""COMPUTED_VALUE"""),"6722296")</f>
        <v>6722296</v>
      </c>
      <c r="C35" s="48" t="str">
        <f ca="1">IFERROR(__xludf.DUMMYFUNCTION("""COMPUTED_VALUE"""),"BERTRAND")</f>
        <v>BERTRAND</v>
      </c>
      <c r="D35" s="48" t="str">
        <f ca="1">IFERROR(__xludf.DUMMYFUNCTION("""COMPUTED_VALUE"""),"Arthur")</f>
        <v>Arthur</v>
      </c>
      <c r="E35" s="49" t="str">
        <f ca="1">IFERROR(__xludf.DUMMYFUNCTION("""COMPUTED_VALUE"""),"06670115")</f>
        <v>06670115</v>
      </c>
      <c r="F35" s="48" t="str">
        <f ca="1">IFERROR(__xludf.DUMMYFUNCTION("""COMPUTED_VALUE"""),"GUNDERSHOFFEN P79")</f>
        <v>GUNDERSHOFFEN P79</v>
      </c>
      <c r="G35" s="50" t="str">
        <f ca="1">IFERROR(__xludf.DUMMYFUNCTION("""COMPUTED_VALUE"""),"CD67")</f>
        <v>CD67</v>
      </c>
      <c r="H35" s="50" t="str">
        <f ca="1">IFERROR(__xludf.DUMMYFUNCTION("""COMPUTED_VALUE"""),"actif")</f>
        <v>actif</v>
      </c>
    </row>
    <row r="36" spans="1:8" ht="12.75">
      <c r="A36" s="46">
        <f ca="1">IFERROR(__xludf.DUMMYFUNCTION("""COMPUTED_VALUE"""),24)</f>
        <v>24</v>
      </c>
      <c r="B36" s="47" t="str">
        <f ca="1">IFERROR(__xludf.DUMMYFUNCTION("""COMPUTED_VALUE"""),"687788")</f>
        <v>687788</v>
      </c>
      <c r="C36" s="48" t="str">
        <f ca="1">IFERROR(__xludf.DUMMYFUNCTION("""COMPUTED_VALUE"""),"BESNIER")</f>
        <v>BESNIER</v>
      </c>
      <c r="D36" s="48" t="str">
        <f ca="1">IFERROR(__xludf.DUMMYFUNCTION("""COMPUTED_VALUE"""),"Adrien")</f>
        <v>Adrien</v>
      </c>
      <c r="E36" s="49" t="str">
        <f ca="1">IFERROR(__xludf.DUMMYFUNCTION("""COMPUTED_VALUE"""),"06680105")</f>
        <v>06680105</v>
      </c>
      <c r="F36" s="48" t="str">
        <f ca="1">IFERROR(__xludf.DUMMYFUNCTION("""COMPUTED_VALUE"""),"MULHOUSE TENNIS DE TABLE")</f>
        <v>MULHOUSE TENNIS DE TABLE</v>
      </c>
      <c r="G36" s="50" t="str">
        <f ca="1">IFERROR(__xludf.DUMMYFUNCTION("""COMPUTED_VALUE"""),"CD68")</f>
        <v>CD68</v>
      </c>
      <c r="H36" s="50" t="str">
        <f ca="1">IFERROR(__xludf.DUMMYFUNCTION("""COMPUTED_VALUE"""),"actif")</f>
        <v>actif</v>
      </c>
    </row>
    <row r="37" spans="1:8" ht="12.75">
      <c r="A37" s="46">
        <f ca="1">IFERROR(__xludf.DUMMYFUNCTION("""COMPUTED_VALUE"""),25)</f>
        <v>25</v>
      </c>
      <c r="B37" s="47" t="str">
        <f ca="1">IFERROR(__xludf.DUMMYFUNCTION("""COMPUTED_VALUE"""),"5710383")</f>
        <v>5710383</v>
      </c>
      <c r="C37" s="48" t="str">
        <f ca="1">IFERROR(__xludf.DUMMYFUNCTION("""COMPUTED_VALUE"""),"BICHET")</f>
        <v>BICHET</v>
      </c>
      <c r="D37" s="48" t="str">
        <f ca="1">IFERROR(__xludf.DUMMYFUNCTION("""COMPUTED_VALUE"""),"Pierre")</f>
        <v>Pierre</v>
      </c>
      <c r="E37" s="49" t="str">
        <f ca="1">IFERROR(__xludf.DUMMYFUNCTION("""COMPUTED_VALUE"""),"06570024")</f>
        <v>06570024</v>
      </c>
      <c r="F37" s="48" t="str">
        <f ca="1">IFERROR(__xludf.DUMMYFUNCTION("""COMPUTED_VALUE"""),"THIONVILLE Tennis de Table")</f>
        <v>THIONVILLE Tennis de Table</v>
      </c>
      <c r="G37" s="50" t="str">
        <f ca="1">IFERROR(__xludf.DUMMYFUNCTION("""COMPUTED_VALUE"""),"CD57")</f>
        <v>CD57</v>
      </c>
      <c r="H37" s="50" t="str">
        <f ca="1">IFERROR(__xludf.DUMMYFUNCTION("""COMPUTED_VALUE"""),"actif")</f>
        <v>actif</v>
      </c>
    </row>
    <row r="38" spans="1:8" ht="12.75">
      <c r="A38" s="46">
        <f ca="1">IFERROR(__xludf.DUMMYFUNCTION("""COMPUTED_VALUE"""),26)</f>
        <v>26</v>
      </c>
      <c r="B38" s="47" t="str">
        <f ca="1">IFERROR(__xludf.DUMMYFUNCTION("""COMPUTED_VALUE"""),"6812601")</f>
        <v>6812601</v>
      </c>
      <c r="C38" s="48" t="str">
        <f ca="1">IFERROR(__xludf.DUMMYFUNCTION("""COMPUTED_VALUE"""),"BINDER")</f>
        <v>BINDER</v>
      </c>
      <c r="D38" s="48" t="str">
        <f ca="1">IFERROR(__xludf.DUMMYFUNCTION("""COMPUTED_VALUE"""),"Denis")</f>
        <v>Denis</v>
      </c>
      <c r="E38" s="49" t="str">
        <f ca="1">IFERROR(__xludf.DUMMYFUNCTION("""COMPUTED_VALUE"""),"06680082")</f>
        <v>06680082</v>
      </c>
      <c r="F38" s="48" t="str">
        <f ca="1">IFERROR(__xludf.DUMMYFUNCTION("""COMPUTED_VALUE"""),"SAINT-LOUIS TT")</f>
        <v>SAINT-LOUIS TT</v>
      </c>
      <c r="G38" s="50" t="str">
        <f ca="1">IFERROR(__xludf.DUMMYFUNCTION("""COMPUTED_VALUE"""),"CD68")</f>
        <v>CD68</v>
      </c>
      <c r="H38" s="50" t="str">
        <f ca="1">IFERROR(__xludf.DUMMYFUNCTION("""COMPUTED_VALUE"""),"actif")</f>
        <v>actif</v>
      </c>
    </row>
    <row r="39" spans="1:8" ht="12.75">
      <c r="A39" s="46">
        <f ca="1">IFERROR(__xludf.DUMMYFUNCTION("""COMPUTED_VALUE"""),27)</f>
        <v>27</v>
      </c>
      <c r="B39" s="47" t="str">
        <f ca="1">IFERROR(__xludf.DUMMYFUNCTION("""COMPUTED_VALUE"""),"5736446")</f>
        <v>5736446</v>
      </c>
      <c r="C39" s="48" t="str">
        <f ca="1">IFERROR(__xludf.DUMMYFUNCTION("""COMPUTED_VALUE"""),"BITOUZÉ")</f>
        <v>BITOUZÉ</v>
      </c>
      <c r="D39" s="48" t="str">
        <f ca="1">IFERROR(__xludf.DUMMYFUNCTION("""COMPUTED_VALUE"""),"Léo")</f>
        <v>Léo</v>
      </c>
      <c r="E39" s="49" t="str">
        <f ca="1">IFERROR(__xludf.DUMMYFUNCTION("""COMPUTED_VALUE"""),"06570073")</f>
        <v>06570073</v>
      </c>
      <c r="F39" s="48" t="str">
        <f ca="1">IFERROR(__xludf.DUMMYFUNCTION("""COMPUTED_VALUE"""),"TERVILLE Tennis de Table")</f>
        <v>TERVILLE Tennis de Table</v>
      </c>
      <c r="G39" s="50" t="str">
        <f ca="1">IFERROR(__xludf.DUMMYFUNCTION("""COMPUTED_VALUE"""),"CD57")</f>
        <v>CD57</v>
      </c>
      <c r="H39" s="50" t="str">
        <f ca="1">IFERROR(__xludf.DUMMYFUNCTION("""COMPUTED_VALUE"""),"actif")</f>
        <v>actif</v>
      </c>
    </row>
    <row r="40" spans="1:8" ht="12.75">
      <c r="A40" s="46">
        <f ca="1">IFERROR(__xludf.DUMMYFUNCTION("""COMPUTED_VALUE"""),28)</f>
        <v>28</v>
      </c>
      <c r="B40" s="47" t="str">
        <f ca="1">IFERROR(__xludf.DUMMYFUNCTION("""COMPUTED_VALUE"""),"5418245")</f>
        <v>5418245</v>
      </c>
      <c r="C40" s="48" t="str">
        <f ca="1">IFERROR(__xludf.DUMMYFUNCTION("""COMPUTED_VALUE"""),"BITTON")</f>
        <v>BITTON</v>
      </c>
      <c r="D40" s="48" t="str">
        <f ca="1">IFERROR(__xludf.DUMMYFUNCTION("""COMPUTED_VALUE"""),"Jeremy")</f>
        <v>Jeremy</v>
      </c>
      <c r="E40" s="49" t="str">
        <f ca="1">IFERROR(__xludf.DUMMYFUNCTION("""COMPUTED_VALUE"""),"06880022")</f>
        <v>06880022</v>
      </c>
      <c r="F40" s="48" t="str">
        <f ca="1">IFERROR(__xludf.DUMMYFUNCTION("""COMPUTED_VALUE"""),"VITTEL SAINT REMY TT")</f>
        <v>VITTEL SAINT REMY TT</v>
      </c>
      <c r="G40" s="50" t="str">
        <f ca="1">IFERROR(__xludf.DUMMYFUNCTION("""COMPUTED_VALUE"""),"CD88")</f>
        <v>CD88</v>
      </c>
      <c r="H40" s="50" t="str">
        <f ca="1">IFERROR(__xludf.DUMMYFUNCTION("""COMPUTED_VALUE"""),"actif")</f>
        <v>actif</v>
      </c>
    </row>
    <row r="41" spans="1:8" ht="12.75">
      <c r="A41" s="46">
        <f ca="1">IFERROR(__xludf.DUMMYFUNCTION("""COMPUTED_VALUE"""),29)</f>
        <v>29</v>
      </c>
      <c r="B41" s="47" t="str">
        <f ca="1">IFERROR(__xludf.DUMMYFUNCTION("""COMPUTED_VALUE"""),"2111239")</f>
        <v>2111239</v>
      </c>
      <c r="C41" s="48" t="str">
        <f ca="1">IFERROR(__xludf.DUMMYFUNCTION("""COMPUTED_VALUE"""),"BLOC")</f>
        <v>BLOC</v>
      </c>
      <c r="D41" s="48" t="str">
        <f ca="1">IFERROR(__xludf.DUMMYFUNCTION("""COMPUTED_VALUE"""),"Denis")</f>
        <v>Denis</v>
      </c>
      <c r="E41" s="49" t="str">
        <f ca="1">IFERROR(__xludf.DUMMYFUNCTION("""COMPUTED_VALUE"""),"06570111")</f>
        <v>06570111</v>
      </c>
      <c r="F41" s="48" t="str">
        <f ca="1">IFERROR(__xludf.DUMMYFUNCTION("""COMPUTED_VALUE"""),"SARREBOURG TT")</f>
        <v>SARREBOURG TT</v>
      </c>
      <c r="G41" s="50" t="str">
        <f ca="1">IFERROR(__xludf.DUMMYFUNCTION("""COMPUTED_VALUE"""),"CD57")</f>
        <v>CD57</v>
      </c>
      <c r="H41" s="50" t="str">
        <f ca="1">IFERROR(__xludf.DUMMYFUNCTION("""COMPUTED_VALUE"""),"actif")</f>
        <v>actif</v>
      </c>
    </row>
    <row r="42" spans="1:8" ht="12.75">
      <c r="A42" s="46">
        <f ca="1">IFERROR(__xludf.DUMMYFUNCTION("""COMPUTED_VALUE"""),30)</f>
        <v>30</v>
      </c>
      <c r="B42" s="47" t="str">
        <f ca="1">IFERROR(__xludf.DUMMYFUNCTION("""COMPUTED_VALUE"""),"6715298")</f>
        <v>6715298</v>
      </c>
      <c r="C42" s="48" t="str">
        <f ca="1">IFERROR(__xludf.DUMMYFUNCTION("""COMPUTED_VALUE"""),"BLOTTIER")</f>
        <v>BLOTTIER</v>
      </c>
      <c r="D42" s="48" t="str">
        <f ca="1">IFERROR(__xludf.DUMMYFUNCTION("""COMPUTED_VALUE"""),"Gilles")</f>
        <v>Gilles</v>
      </c>
      <c r="E42" s="49" t="str">
        <f ca="1">IFERROR(__xludf.DUMMYFUNCTION("""COMPUTED_VALUE"""),"06670248")</f>
        <v>06670248</v>
      </c>
      <c r="F42" s="48" t="str">
        <f ca="1">IFERROR(__xludf.DUMMYFUNCTION("""COMPUTED_VALUE"""),"MARMOUTIER CSE")</f>
        <v>MARMOUTIER CSE</v>
      </c>
      <c r="G42" s="50" t="str">
        <f ca="1">IFERROR(__xludf.DUMMYFUNCTION("""COMPUTED_VALUE"""),"CD67")</f>
        <v>CD67</v>
      </c>
      <c r="H42" s="50" t="str">
        <f ca="1">IFERROR(__xludf.DUMMYFUNCTION("""COMPUTED_VALUE"""),"actif")</f>
        <v>actif</v>
      </c>
    </row>
    <row r="43" spans="1:8" ht="12.75">
      <c r="A43" s="46">
        <f ca="1">IFERROR(__xludf.DUMMYFUNCTION("""COMPUTED_VALUE"""),31)</f>
        <v>31</v>
      </c>
      <c r="B43" s="47" t="str">
        <f ca="1">IFERROR(__xludf.DUMMYFUNCTION("""COMPUTED_VALUE"""),"8812252")</f>
        <v>8812252</v>
      </c>
      <c r="C43" s="48" t="str">
        <f ca="1">IFERROR(__xludf.DUMMYFUNCTION("""COMPUTED_VALUE"""),"BLUNTZER")</f>
        <v>BLUNTZER</v>
      </c>
      <c r="D43" s="48" t="str">
        <f ca="1">IFERROR(__xludf.DUMMYFUNCTION("""COMPUTED_VALUE"""),"Christophe")</f>
        <v>Christophe</v>
      </c>
      <c r="E43" s="49" t="str">
        <f ca="1">IFERROR(__xludf.DUMMYFUNCTION("""COMPUTED_VALUE"""),"06880113")</f>
        <v>06880113</v>
      </c>
      <c r="F43" s="48" t="str">
        <f ca="1">IFERROR(__xludf.DUMMYFUNCTION("""COMPUTED_VALUE"""),"LA BOURGONCE ST MICHEL TT")</f>
        <v>LA BOURGONCE ST MICHEL TT</v>
      </c>
      <c r="G43" s="50" t="str">
        <f ca="1">IFERROR(__xludf.DUMMYFUNCTION("""COMPUTED_VALUE"""),"CD88")</f>
        <v>CD88</v>
      </c>
      <c r="H43" s="50" t="str">
        <f ca="1">IFERROR(__xludf.DUMMYFUNCTION("""COMPUTED_VALUE"""),"actif")</f>
        <v>actif</v>
      </c>
    </row>
    <row r="44" spans="1:8" ht="12.75">
      <c r="A44" s="46">
        <f ca="1">IFERROR(__xludf.DUMMYFUNCTION("""COMPUTED_VALUE"""),32)</f>
        <v>32</v>
      </c>
      <c r="B44" s="47" t="str">
        <f ca="1">IFERROR(__xludf.DUMMYFUNCTION("""COMPUTED_VALUE"""),"6720161")</f>
        <v>6720161</v>
      </c>
      <c r="C44" s="48" t="str">
        <f ca="1">IFERROR(__xludf.DUMMYFUNCTION("""COMPUTED_VALUE"""),"BOESINGER")</f>
        <v>BOESINGER</v>
      </c>
      <c r="D44" s="48" t="str">
        <f ca="1">IFERROR(__xludf.DUMMYFUNCTION("""COMPUTED_VALUE"""),"Marion")</f>
        <v>Marion</v>
      </c>
      <c r="E44" s="49" t="str">
        <f ca="1">IFERROR(__xludf.DUMMYFUNCTION("""COMPUTED_VALUE"""),"06670045")</f>
        <v>06670045</v>
      </c>
      <c r="F44" s="48" t="str">
        <f ca="1">IFERROR(__xludf.DUMMYFUNCTION("""COMPUTED_VALUE"""),"STRASBOURG RC")</f>
        <v>STRASBOURG RC</v>
      </c>
      <c r="G44" s="50" t="str">
        <f ca="1">IFERROR(__xludf.DUMMYFUNCTION("""COMPUTED_VALUE"""),"CD67")</f>
        <v>CD67</v>
      </c>
      <c r="H44" s="50" t="str">
        <f ca="1">IFERROR(__xludf.DUMMYFUNCTION("""COMPUTED_VALUE"""),"actif")</f>
        <v>actif</v>
      </c>
    </row>
    <row r="45" spans="1:8" ht="12.75">
      <c r="A45" s="46">
        <f ca="1">IFERROR(__xludf.DUMMYFUNCTION("""COMPUTED_VALUE"""),33)</f>
        <v>33</v>
      </c>
      <c r="B45" s="47" t="str">
        <f ca="1">IFERROR(__xludf.DUMMYFUNCTION("""COMPUTED_VALUE"""),"6718175")</f>
        <v>6718175</v>
      </c>
      <c r="C45" s="48" t="str">
        <f ca="1">IFERROR(__xludf.DUMMYFUNCTION("""COMPUTED_VALUE"""),"BOESINGER")</f>
        <v>BOESINGER</v>
      </c>
      <c r="D45" s="48" t="str">
        <f ca="1">IFERROR(__xludf.DUMMYFUNCTION("""COMPUTED_VALUE"""),"Chris")</f>
        <v>Chris</v>
      </c>
      <c r="E45" s="49" t="str">
        <f ca="1">IFERROR(__xludf.DUMMYFUNCTION("""COMPUTED_VALUE"""),"06670115")</f>
        <v>06670115</v>
      </c>
      <c r="F45" s="48" t="str">
        <f ca="1">IFERROR(__xludf.DUMMYFUNCTION("""COMPUTED_VALUE"""),"GUNDERSHOFFEN P79")</f>
        <v>GUNDERSHOFFEN P79</v>
      </c>
      <c r="G45" s="50" t="str">
        <f ca="1">IFERROR(__xludf.DUMMYFUNCTION("""COMPUTED_VALUE"""),"CD67")</f>
        <v>CD67</v>
      </c>
      <c r="H45" s="50" t="str">
        <f ca="1">IFERROR(__xludf.DUMMYFUNCTION("""COMPUTED_VALUE"""),"actif")</f>
        <v>actif</v>
      </c>
    </row>
    <row r="46" spans="1:8" ht="12.75">
      <c r="A46" s="46">
        <f ca="1">IFERROR(__xludf.DUMMYFUNCTION("""COMPUTED_VALUE"""),34)</f>
        <v>34</v>
      </c>
      <c r="B46" s="47" t="str">
        <f ca="1">IFERROR(__xludf.DUMMYFUNCTION("""COMPUTED_VALUE"""),"5424439")</f>
        <v>5424439</v>
      </c>
      <c r="C46" s="48" t="str">
        <f ca="1">IFERROR(__xludf.DUMMYFUNCTION("""COMPUTED_VALUE"""),"BONNERAVE")</f>
        <v>BONNERAVE</v>
      </c>
      <c r="D46" s="48" t="str">
        <f ca="1">IFERROR(__xludf.DUMMYFUNCTION("""COMPUTED_VALUE"""),"Damien")</f>
        <v>Damien</v>
      </c>
      <c r="E46" s="49" t="str">
        <f ca="1">IFERROR(__xludf.DUMMYFUNCTION("""COMPUTED_VALUE"""),"06540104")</f>
        <v>06540104</v>
      </c>
      <c r="F46" s="48" t="str">
        <f ca="1">IFERROR(__xludf.DUMMYFUNCTION("""COMPUTED_VALUE"""),"AUDUN LE ROMAN ASTT")</f>
        <v>AUDUN LE ROMAN ASTT</v>
      </c>
      <c r="G46" s="50" t="str">
        <f ca="1">IFERROR(__xludf.DUMMYFUNCTION("""COMPUTED_VALUE"""),"CD54")</f>
        <v>CD54</v>
      </c>
      <c r="H46" s="50" t="str">
        <f ca="1">IFERROR(__xludf.DUMMYFUNCTION("""COMPUTED_VALUE"""),"actif")</f>
        <v>actif</v>
      </c>
    </row>
    <row r="47" spans="1:8" ht="12.75">
      <c r="A47" s="46">
        <f ca="1">IFERROR(__xludf.DUMMYFUNCTION("""COMPUTED_VALUE"""),35)</f>
        <v>35</v>
      </c>
      <c r="B47" s="47" t="str">
        <f ca="1">IFERROR(__xludf.DUMMYFUNCTION("""COMPUTED_VALUE"""),"555311")</f>
        <v>555311</v>
      </c>
      <c r="C47" s="48" t="str">
        <f ca="1">IFERROR(__xludf.DUMMYFUNCTION("""COMPUTED_VALUE"""),"BOULOGNE")</f>
        <v>BOULOGNE</v>
      </c>
      <c r="D47" s="48" t="str">
        <f ca="1">IFERROR(__xludf.DUMMYFUNCTION("""COMPUTED_VALUE"""),"Alexis")</f>
        <v>Alexis</v>
      </c>
      <c r="E47" s="49" t="str">
        <f ca="1">IFERROR(__xludf.DUMMYFUNCTION("""COMPUTED_VALUE"""),"06520003")</f>
        <v>06520003</v>
      </c>
      <c r="F47" s="48" t="str">
        <f ca="1">IFERROR(__xludf.DUMMYFUNCTION("""COMPUTED_VALUE"""),"EURVILLE BIENVILLE Jeunes")</f>
        <v>EURVILLE BIENVILLE Jeunes</v>
      </c>
      <c r="G47" s="50" t="str">
        <f ca="1">IFERROR(__xludf.DUMMYFUNCTION("""COMPUTED_VALUE"""),"CD52")</f>
        <v>CD52</v>
      </c>
      <c r="H47" s="50" t="str">
        <f ca="1">IFERROR(__xludf.DUMMYFUNCTION("""COMPUTED_VALUE"""),"actif")</f>
        <v>actif</v>
      </c>
    </row>
    <row r="48" spans="1:8" ht="12.75">
      <c r="A48" s="46">
        <f ca="1">IFERROR(__xludf.DUMMYFUNCTION("""COMPUTED_VALUE"""),36)</f>
        <v>36</v>
      </c>
      <c r="B48" s="47" t="str">
        <f ca="1">IFERROR(__xludf.DUMMYFUNCTION("""COMPUTED_VALUE"""),"518759")</f>
        <v>518759</v>
      </c>
      <c r="C48" s="48" t="str">
        <f ca="1">IFERROR(__xludf.DUMMYFUNCTION("""COMPUTED_VALUE"""),"BROCHEREUX")</f>
        <v>BROCHEREUX</v>
      </c>
      <c r="D48" s="48" t="str">
        <f ca="1">IFERROR(__xludf.DUMMYFUNCTION("""COMPUTED_VALUE"""),"Fabien")</f>
        <v>Fabien</v>
      </c>
      <c r="E48" s="49" t="str">
        <f ca="1">IFERROR(__xludf.DUMMYFUNCTION("""COMPUTED_VALUE"""),"06510018")</f>
        <v>06510018</v>
      </c>
      <c r="F48" s="48" t="str">
        <f ca="1">IFERROR(__xludf.DUMMYFUNCTION("""COMPUTED_VALUE"""),"REIMS ASPTT")</f>
        <v>REIMS ASPTT</v>
      </c>
      <c r="G48" s="50" t="str">
        <f ca="1">IFERROR(__xludf.DUMMYFUNCTION("""COMPUTED_VALUE"""),"CD51")</f>
        <v>CD51</v>
      </c>
      <c r="H48" s="50" t="str">
        <f ca="1">IFERROR(__xludf.DUMMYFUNCTION("""COMPUTED_VALUE"""),"actif")</f>
        <v>actif</v>
      </c>
    </row>
    <row r="49" spans="1:8" ht="12.75">
      <c r="A49" s="46">
        <f ca="1">IFERROR(__xludf.DUMMYFUNCTION("""COMPUTED_VALUE"""),37)</f>
        <v>37</v>
      </c>
      <c r="B49" s="47" t="str">
        <f ca="1">IFERROR(__xludf.DUMMYFUNCTION("""COMPUTED_VALUE"""),"8813480")</f>
        <v>8813480</v>
      </c>
      <c r="C49" s="48" t="str">
        <f ca="1">IFERROR(__xludf.DUMMYFUNCTION("""COMPUTED_VALUE"""),"BROMBECK")</f>
        <v>BROMBECK</v>
      </c>
      <c r="D49" s="48" t="str">
        <f ca="1">IFERROR(__xludf.DUMMYFUNCTION("""COMPUTED_VALUE"""),"Philippe")</f>
        <v>Philippe</v>
      </c>
      <c r="E49" s="49" t="str">
        <f ca="1">IFERROR(__xludf.DUMMYFUNCTION("""COMPUTED_VALUE"""),"06880123")</f>
        <v>06880123</v>
      </c>
      <c r="F49" s="48" t="str">
        <f ca="1">IFERROR(__xludf.DUMMYFUNCTION("""COMPUTED_VALUE"""),"ETIVAL ASRTT")</f>
        <v>ETIVAL ASRTT</v>
      </c>
      <c r="G49" s="50" t="str">
        <f ca="1">IFERROR(__xludf.DUMMYFUNCTION("""COMPUTED_VALUE"""),"CD88")</f>
        <v>CD88</v>
      </c>
      <c r="H49" s="50" t="str">
        <f ca="1">IFERROR(__xludf.DUMMYFUNCTION("""COMPUTED_VALUE"""),"actif")</f>
        <v>actif</v>
      </c>
    </row>
    <row r="50" spans="1:8" ht="12.75">
      <c r="A50" s="46">
        <f ca="1">IFERROR(__xludf.DUMMYFUNCTION("""COMPUTED_VALUE"""),38)</f>
        <v>38</v>
      </c>
      <c r="B50" s="47" t="str">
        <f ca="1">IFERROR(__xludf.DUMMYFUNCTION("""COMPUTED_VALUE"""),"0612124")</f>
        <v>0612124</v>
      </c>
      <c r="C50" s="48" t="str">
        <f ca="1">IFERROR(__xludf.DUMMYFUNCTION("""COMPUTED_VALUE"""),"BRU")</f>
        <v>BRU</v>
      </c>
      <c r="D50" s="48" t="str">
        <f ca="1">IFERROR(__xludf.DUMMYFUNCTION("""COMPUTED_VALUE"""),"Constance")</f>
        <v>Constance</v>
      </c>
      <c r="E50" s="49" t="str">
        <f ca="1">IFERROR(__xludf.DUMMYFUNCTION("""COMPUTED_VALUE"""),"06510001")</f>
        <v>06510001</v>
      </c>
      <c r="F50" s="48" t="str">
        <f ca="1">IFERROR(__xludf.DUMMYFUNCTION("""COMPUTED_VALUE"""),"REIMS OLYMPIQUE TT")</f>
        <v>REIMS OLYMPIQUE TT</v>
      </c>
      <c r="G50" s="50" t="str">
        <f ca="1">IFERROR(__xludf.DUMMYFUNCTION("""COMPUTED_VALUE"""),"CD51")</f>
        <v>CD51</v>
      </c>
      <c r="H50" s="50" t="str">
        <f ca="1">IFERROR(__xludf.DUMMYFUNCTION("""COMPUTED_VALUE"""),"actif")</f>
        <v>actif</v>
      </c>
    </row>
    <row r="51" spans="1:8" ht="12.75">
      <c r="A51" s="46">
        <f ca="1">IFERROR(__xludf.DUMMYFUNCTION("""COMPUTED_VALUE"""),39)</f>
        <v>39</v>
      </c>
      <c r="B51" s="47" t="str">
        <f ca="1">IFERROR(__xludf.DUMMYFUNCTION("""COMPUTED_VALUE"""),"684593")</f>
        <v>684593</v>
      </c>
      <c r="C51" s="48" t="str">
        <f ca="1">IFERROR(__xludf.DUMMYFUNCTION("""COMPUTED_VALUE"""),"BRUCHLEN")</f>
        <v>BRUCHLEN</v>
      </c>
      <c r="D51" s="48" t="str">
        <f ca="1">IFERROR(__xludf.DUMMYFUNCTION("""COMPUTED_VALUE"""),"Antoine")</f>
        <v>Antoine</v>
      </c>
      <c r="E51" s="49" t="str">
        <f ca="1">IFERROR(__xludf.DUMMYFUNCTION("""COMPUTED_VALUE"""),"06680118")</f>
        <v>06680118</v>
      </c>
      <c r="F51" s="48" t="str">
        <f ca="1">IFERROR(__xludf.DUMMYFUNCTION("""COMPUTED_VALUE"""),"WITTELSHEIM MDPA TT")</f>
        <v>WITTELSHEIM MDPA TT</v>
      </c>
      <c r="G51" s="50" t="str">
        <f ca="1">IFERROR(__xludf.DUMMYFUNCTION("""COMPUTED_VALUE"""),"CD68")</f>
        <v>CD68</v>
      </c>
      <c r="H51" s="50" t="str">
        <f ca="1">IFERROR(__xludf.DUMMYFUNCTION("""COMPUTED_VALUE"""),"actif")</f>
        <v>actif</v>
      </c>
    </row>
    <row r="52" spans="1:8" ht="12.75">
      <c r="A52" s="46">
        <f ca="1">IFERROR(__xludf.DUMMYFUNCTION("""COMPUTED_VALUE"""),40)</f>
        <v>40</v>
      </c>
      <c r="B52" s="47" t="str">
        <f ca="1">IFERROR(__xludf.DUMMYFUNCTION("""COMPUTED_VALUE"""),"6718180")</f>
        <v>6718180</v>
      </c>
      <c r="C52" s="48" t="str">
        <f ca="1">IFERROR(__xludf.DUMMYFUNCTION("""COMPUTED_VALUE"""),"BURRUS")</f>
        <v>BURRUS</v>
      </c>
      <c r="D52" s="48" t="str">
        <f ca="1">IFERROR(__xludf.DUMMYFUNCTION("""COMPUTED_VALUE"""),"Alexandra")</f>
        <v>Alexandra</v>
      </c>
      <c r="E52" s="49" t="str">
        <f ca="1">IFERROR(__xludf.DUMMYFUNCTION("""COMPUTED_VALUE"""),"06670272")</f>
        <v>06670272</v>
      </c>
      <c r="F52" s="48" t="str">
        <f ca="1">IFERROR(__xludf.DUMMYFUNCTION("""COMPUTED_VALUE"""),"SCHILTIGHEIM Tennis de Table")</f>
        <v>SCHILTIGHEIM Tennis de Table</v>
      </c>
      <c r="G52" s="50" t="str">
        <f ca="1">IFERROR(__xludf.DUMMYFUNCTION("""COMPUTED_VALUE"""),"CD67")</f>
        <v>CD67</v>
      </c>
      <c r="H52" s="50" t="str">
        <f ca="1">IFERROR(__xludf.DUMMYFUNCTION("""COMPUTED_VALUE"""),"actif")</f>
        <v>actif</v>
      </c>
    </row>
    <row r="53" spans="1:8" ht="12.75">
      <c r="A53" s="46">
        <f ca="1">IFERROR(__xludf.DUMMYFUNCTION("""COMPUTED_VALUE"""),41)</f>
        <v>41</v>
      </c>
      <c r="B53" s="47" t="str">
        <f ca="1">IFERROR(__xludf.DUMMYFUNCTION("""COMPUTED_VALUE"""),"5730595")</f>
        <v>5730595</v>
      </c>
      <c r="C53" s="48" t="str">
        <f ca="1">IFERROR(__xludf.DUMMYFUNCTION("""COMPUTED_VALUE"""),"BUZEAU")</f>
        <v>BUZEAU</v>
      </c>
      <c r="D53" s="48" t="str">
        <f ca="1">IFERROR(__xludf.DUMMYFUNCTION("""COMPUTED_VALUE"""),"Laurent")</f>
        <v>Laurent</v>
      </c>
      <c r="E53" s="49" t="str">
        <f ca="1">IFERROR(__xludf.DUMMYFUNCTION("""COMPUTED_VALUE"""),"06570107")</f>
        <v>06570107</v>
      </c>
      <c r="F53" s="48" t="str">
        <f ca="1">IFERROR(__xludf.DUMMYFUNCTION("""COMPUTED_VALUE"""),"MAIZIÈRES-LÈS-METZ T.T.")</f>
        <v>MAIZIÈRES-LÈS-METZ T.T.</v>
      </c>
      <c r="G53" s="50" t="str">
        <f ca="1">IFERROR(__xludf.DUMMYFUNCTION("""COMPUTED_VALUE"""),"CD57")</f>
        <v>CD57</v>
      </c>
      <c r="H53" s="50" t="str">
        <f ca="1">IFERROR(__xludf.DUMMYFUNCTION("""COMPUTED_VALUE"""),"actif")</f>
        <v>actif</v>
      </c>
    </row>
    <row r="54" spans="1:8" ht="12.75">
      <c r="A54" s="46">
        <f ca="1">IFERROR(__xludf.DUMMYFUNCTION("""COMPUTED_VALUE"""),42)</f>
        <v>42</v>
      </c>
      <c r="B54" s="47" t="str">
        <f ca="1">IFERROR(__xludf.DUMMYFUNCTION("""COMPUTED_VALUE"""),"5736431")</f>
        <v>5736431</v>
      </c>
      <c r="C54" s="48" t="str">
        <f ca="1">IFERROR(__xludf.DUMMYFUNCTION("""COMPUTED_VALUE"""),"CANDUSSO")</f>
        <v>CANDUSSO</v>
      </c>
      <c r="D54" s="48" t="str">
        <f ca="1">IFERROR(__xludf.DUMMYFUNCTION("""COMPUTED_VALUE"""),"Anne Laure")</f>
        <v>Anne Laure</v>
      </c>
      <c r="E54" s="49" t="str">
        <f ca="1">IFERROR(__xludf.DUMMYFUNCTION("""COMPUTED_VALUE"""),"06570190")</f>
        <v>06570190</v>
      </c>
      <c r="F54" s="48" t="str">
        <f ca="1">IFERROR(__xludf.DUMMYFUNCTION("""COMPUTED_VALUE"""),"METZ Tennis de Table")</f>
        <v>METZ Tennis de Table</v>
      </c>
      <c r="G54" s="50" t="str">
        <f ca="1">IFERROR(__xludf.DUMMYFUNCTION("""COMPUTED_VALUE"""),"CD57")</f>
        <v>CD57</v>
      </c>
      <c r="H54" s="50" t="str">
        <f ca="1">IFERROR(__xludf.DUMMYFUNCTION("""COMPUTED_VALUE"""),"actif")</f>
        <v>actif</v>
      </c>
    </row>
    <row r="55" spans="1:8" ht="12.75">
      <c r="A55" s="46">
        <f ca="1">IFERROR(__xludf.DUMMYFUNCTION("""COMPUTED_VALUE"""),43)</f>
        <v>43</v>
      </c>
      <c r="B55" s="47" t="str">
        <f ca="1">IFERROR(__xludf.DUMMYFUNCTION("""COMPUTED_VALUE"""),"5722559")</f>
        <v>5722559</v>
      </c>
      <c r="C55" s="48" t="str">
        <f ca="1">IFERROR(__xludf.DUMMYFUNCTION("""COMPUTED_VALUE"""),"CANNIZZARO")</f>
        <v>CANNIZZARO</v>
      </c>
      <c r="D55" s="48" t="str">
        <f ca="1">IFERROR(__xludf.DUMMYFUNCTION("""COMPUTED_VALUE"""),"Lucas")</f>
        <v>Lucas</v>
      </c>
      <c r="E55" s="49" t="str">
        <f ca="1">IFERROR(__xludf.DUMMYFUNCTION("""COMPUTED_VALUE"""),"06570073")</f>
        <v>06570073</v>
      </c>
      <c r="F55" s="48" t="str">
        <f ca="1">IFERROR(__xludf.DUMMYFUNCTION("""COMPUTED_VALUE"""),"TERVILLE Tennis de Table")</f>
        <v>TERVILLE Tennis de Table</v>
      </c>
      <c r="G55" s="50" t="str">
        <f ca="1">IFERROR(__xludf.DUMMYFUNCTION("""COMPUTED_VALUE"""),"CD57")</f>
        <v>CD57</v>
      </c>
      <c r="H55" s="50" t="str">
        <f ca="1">IFERROR(__xludf.DUMMYFUNCTION("""COMPUTED_VALUE"""),"actif")</f>
        <v>actif</v>
      </c>
    </row>
    <row r="56" spans="1:8" ht="12.75">
      <c r="A56" s="46">
        <f ca="1">IFERROR(__xludf.DUMMYFUNCTION("""COMPUTED_VALUE"""),44)</f>
        <v>44</v>
      </c>
      <c r="B56" s="47" t="str">
        <f ca="1">IFERROR(__xludf.DUMMYFUNCTION("""COMPUTED_VALUE"""),"5723984")</f>
        <v>5723984</v>
      </c>
      <c r="C56" s="48" t="str">
        <f ca="1">IFERROR(__xludf.DUMMYFUNCTION("""COMPUTED_VALUE"""),"CANNIZZARO")</f>
        <v>CANNIZZARO</v>
      </c>
      <c r="D56" s="48" t="str">
        <f ca="1">IFERROR(__xludf.DUMMYFUNCTION("""COMPUTED_VALUE"""),"Lisa")</f>
        <v>Lisa</v>
      </c>
      <c r="E56" s="49" t="str">
        <f ca="1">IFERROR(__xludf.DUMMYFUNCTION("""COMPUTED_VALUE"""),"06570073")</f>
        <v>06570073</v>
      </c>
      <c r="F56" s="48" t="str">
        <f ca="1">IFERROR(__xludf.DUMMYFUNCTION("""COMPUTED_VALUE"""),"TERVILLE Tennis de Table")</f>
        <v>TERVILLE Tennis de Table</v>
      </c>
      <c r="G56" s="50" t="str">
        <f ca="1">IFERROR(__xludf.DUMMYFUNCTION("""COMPUTED_VALUE"""),"CD57")</f>
        <v>CD57</v>
      </c>
      <c r="H56" s="50" t="str">
        <f ca="1">IFERROR(__xludf.DUMMYFUNCTION("""COMPUTED_VALUE"""),"actif")</f>
        <v>actif</v>
      </c>
    </row>
    <row r="57" spans="1:8" ht="12.75">
      <c r="A57" s="46">
        <f ca="1">IFERROR(__xludf.DUMMYFUNCTION("""COMPUTED_VALUE"""),45)</f>
        <v>45</v>
      </c>
      <c r="B57" s="47" t="str">
        <f ca="1">IFERROR(__xludf.DUMMYFUNCTION("""COMPUTED_VALUE"""),"574309")</f>
        <v>574309</v>
      </c>
      <c r="C57" s="48" t="str">
        <f ca="1">IFERROR(__xludf.DUMMYFUNCTION("""COMPUTED_VALUE"""),"CANTELE")</f>
        <v>CANTELE</v>
      </c>
      <c r="D57" s="48" t="str">
        <f ca="1">IFERROR(__xludf.DUMMYFUNCTION("""COMPUTED_VALUE"""),"Emmanuel")</f>
        <v>Emmanuel</v>
      </c>
      <c r="E57" s="49" t="str">
        <f ca="1">IFERROR(__xludf.DUMMYFUNCTION("""COMPUTED_VALUE"""),"06680128")</f>
        <v>06680128</v>
      </c>
      <c r="F57" s="48" t="str">
        <f ca="1">IFERROR(__xludf.DUMMYFUNCTION("""COMPUTED_VALUE"""),"BERGHEIM CSS")</f>
        <v>BERGHEIM CSS</v>
      </c>
      <c r="G57" s="50" t="str">
        <f ca="1">IFERROR(__xludf.DUMMYFUNCTION("""COMPUTED_VALUE"""),"CD68")</f>
        <v>CD68</v>
      </c>
      <c r="H57" s="50" t="str">
        <f ca="1">IFERROR(__xludf.DUMMYFUNCTION("""COMPUTED_VALUE"""),"actif")</f>
        <v>actif</v>
      </c>
    </row>
    <row r="58" spans="1:8" ht="12.75">
      <c r="A58" s="46">
        <f ca="1">IFERROR(__xludf.DUMMYFUNCTION("""COMPUTED_VALUE"""),46)</f>
        <v>46</v>
      </c>
      <c r="B58" s="47" t="str">
        <f ca="1">IFERROR(__xludf.DUMMYFUNCTION("""COMPUTED_VALUE"""),"5737241")</f>
        <v>5737241</v>
      </c>
      <c r="C58" s="48" t="str">
        <f ca="1">IFERROR(__xludf.DUMMYFUNCTION("""COMPUTED_VALUE"""),"CAPDEVILA")</f>
        <v>CAPDEVILA</v>
      </c>
      <c r="D58" s="48" t="str">
        <f ca="1">IFERROR(__xludf.DUMMYFUNCTION("""COMPUTED_VALUE"""),"Louis")</f>
        <v>Louis</v>
      </c>
      <c r="E58" s="49" t="str">
        <f ca="1">IFERROR(__xludf.DUMMYFUNCTION("""COMPUTED_VALUE"""),"06570190")</f>
        <v>06570190</v>
      </c>
      <c r="F58" s="48" t="str">
        <f ca="1">IFERROR(__xludf.DUMMYFUNCTION("""COMPUTED_VALUE"""),"METZ Tennis de Table")</f>
        <v>METZ Tennis de Table</v>
      </c>
      <c r="G58" s="50" t="str">
        <f ca="1">IFERROR(__xludf.DUMMYFUNCTION("""COMPUTED_VALUE"""),"CD57")</f>
        <v>CD57</v>
      </c>
      <c r="H58" s="50" t="str">
        <f ca="1">IFERROR(__xludf.DUMMYFUNCTION("""COMPUTED_VALUE"""),"actif")</f>
        <v>actif</v>
      </c>
    </row>
    <row r="59" spans="1:8" ht="12.75">
      <c r="A59" s="46">
        <f ca="1">IFERROR(__xludf.DUMMYFUNCTION("""COMPUTED_VALUE"""),47)</f>
        <v>47</v>
      </c>
      <c r="B59" s="47" t="str">
        <f ca="1">IFERROR(__xludf.DUMMYFUNCTION("""COMPUTED_VALUE"""),"5722607")</f>
        <v>5722607</v>
      </c>
      <c r="C59" s="48" t="str">
        <f ca="1">IFERROR(__xludf.DUMMYFUNCTION("""COMPUTED_VALUE"""),"CARAMANNA")</f>
        <v>CARAMANNA</v>
      </c>
      <c r="D59" s="48" t="str">
        <f ca="1">IFERROR(__xludf.DUMMYFUNCTION("""COMPUTED_VALUE"""),"Joseph")</f>
        <v>Joseph</v>
      </c>
      <c r="E59" s="49" t="str">
        <f ca="1">IFERROR(__xludf.DUMMYFUNCTION("""COMPUTED_VALUE"""),"06570190")</f>
        <v>06570190</v>
      </c>
      <c r="F59" s="48" t="str">
        <f ca="1">IFERROR(__xludf.DUMMYFUNCTION("""COMPUTED_VALUE"""),"METZ Tennis de Table")</f>
        <v>METZ Tennis de Table</v>
      </c>
      <c r="G59" s="50" t="str">
        <f ca="1">IFERROR(__xludf.DUMMYFUNCTION("""COMPUTED_VALUE"""),"CD57")</f>
        <v>CD57</v>
      </c>
      <c r="H59" s="50" t="str">
        <f ca="1">IFERROR(__xludf.DUMMYFUNCTION("""COMPUTED_VALUE"""),"actif")</f>
        <v>actif</v>
      </c>
    </row>
    <row r="60" spans="1:8" ht="12.75">
      <c r="A60" s="46">
        <f ca="1">IFERROR(__xludf.DUMMYFUNCTION("""COMPUTED_VALUE"""),48)</f>
        <v>48</v>
      </c>
      <c r="B60" s="47" t="str">
        <f ca="1">IFERROR(__xludf.DUMMYFUNCTION("""COMPUTED_VALUE"""),"5429381")</f>
        <v>5429381</v>
      </c>
      <c r="C60" s="48" t="str">
        <f ca="1">IFERROR(__xludf.DUMMYFUNCTION("""COMPUTED_VALUE"""),"CARRE")</f>
        <v>CARRE</v>
      </c>
      <c r="D60" s="48" t="str">
        <f ca="1">IFERROR(__xludf.DUMMYFUNCTION("""COMPUTED_VALUE"""),"Sandra")</f>
        <v>Sandra</v>
      </c>
      <c r="E60" s="49" t="str">
        <f ca="1">IFERROR(__xludf.DUMMYFUNCTION("""COMPUTED_VALUE"""),"06540128")</f>
        <v>06540128</v>
      </c>
      <c r="F60" s="48" t="str">
        <f ca="1">IFERROR(__xludf.DUMMYFUNCTION("""COMPUTED_VALUE"""),"PONT A MOUSSON A.S.T.T.")</f>
        <v>PONT A MOUSSON A.S.T.T.</v>
      </c>
      <c r="G60" s="50" t="str">
        <f ca="1">IFERROR(__xludf.DUMMYFUNCTION("""COMPUTED_VALUE"""),"CD54")</f>
        <v>CD54</v>
      </c>
      <c r="H60" s="50" t="str">
        <f ca="1">IFERROR(__xludf.DUMMYFUNCTION("""COMPUTED_VALUE"""),"actif")</f>
        <v>actif</v>
      </c>
    </row>
    <row r="61" spans="1:8" ht="12.75">
      <c r="A61" s="46">
        <f ca="1">IFERROR(__xludf.DUMMYFUNCTION("""COMPUTED_VALUE"""),49)</f>
        <v>49</v>
      </c>
      <c r="B61" s="47" t="str">
        <f ca="1">IFERROR(__xludf.DUMMYFUNCTION("""COMPUTED_VALUE"""),"5719867")</f>
        <v>5719867</v>
      </c>
      <c r="C61" s="48" t="str">
        <f ca="1">IFERROR(__xludf.DUMMYFUNCTION("""COMPUTED_VALUE"""),"CERAVOLO")</f>
        <v>CERAVOLO</v>
      </c>
      <c r="D61" s="48" t="str">
        <f ca="1">IFERROR(__xludf.DUMMYFUNCTION("""COMPUTED_VALUE"""),"Anthony")</f>
        <v>Anthony</v>
      </c>
      <c r="E61" s="49" t="str">
        <f ca="1">IFERROR(__xludf.DUMMYFUNCTION("""COMPUTED_VALUE"""),"06570073")</f>
        <v>06570073</v>
      </c>
      <c r="F61" s="48" t="str">
        <f ca="1">IFERROR(__xludf.DUMMYFUNCTION("""COMPUTED_VALUE"""),"TERVILLE Tennis de Table")</f>
        <v>TERVILLE Tennis de Table</v>
      </c>
      <c r="G61" s="50" t="str">
        <f ca="1">IFERROR(__xludf.DUMMYFUNCTION("""COMPUTED_VALUE"""),"CD57")</f>
        <v>CD57</v>
      </c>
      <c r="H61" s="50" t="str">
        <f ca="1">IFERROR(__xludf.DUMMYFUNCTION("""COMPUTED_VALUE"""),"actif")</f>
        <v>actif</v>
      </c>
    </row>
    <row r="62" spans="1:8" ht="12.75">
      <c r="A62" s="46">
        <f ca="1">IFERROR(__xludf.DUMMYFUNCTION("""COMPUTED_VALUE"""),50)</f>
        <v>50</v>
      </c>
      <c r="B62" s="47" t="str">
        <f ca="1">IFERROR(__xludf.DUMMYFUNCTION("""COMPUTED_VALUE"""),"5734588")</f>
        <v>5734588</v>
      </c>
      <c r="C62" s="48" t="str">
        <f ca="1">IFERROR(__xludf.DUMMYFUNCTION("""COMPUTED_VALUE"""),"CERF")</f>
        <v>CERF</v>
      </c>
      <c r="D62" s="48" t="str">
        <f ca="1">IFERROR(__xludf.DUMMYFUNCTION("""COMPUTED_VALUE"""),"Eddy")</f>
        <v>Eddy</v>
      </c>
      <c r="E62" s="49" t="str">
        <f ca="1">IFERROR(__xludf.DUMMYFUNCTION("""COMPUTED_VALUE"""),"06570005")</f>
        <v>06570005</v>
      </c>
      <c r="F62" s="48" t="str">
        <f ca="1">IFERROR(__xludf.DUMMYFUNCTION("""COMPUTED_VALUE"""),"FAULQUEMONT E.S.C.")</f>
        <v>FAULQUEMONT E.S.C.</v>
      </c>
      <c r="G62" s="50" t="str">
        <f ca="1">IFERROR(__xludf.DUMMYFUNCTION("""COMPUTED_VALUE"""),"CD57")</f>
        <v>CD57</v>
      </c>
      <c r="H62" s="50" t="str">
        <f ca="1">IFERROR(__xludf.DUMMYFUNCTION("""COMPUTED_VALUE"""),"actif")</f>
        <v>actif</v>
      </c>
    </row>
    <row r="63" spans="1:8" ht="12.75">
      <c r="A63" s="46">
        <f ca="1">IFERROR(__xludf.DUMMYFUNCTION("""COMPUTED_VALUE"""),51)</f>
        <v>51</v>
      </c>
      <c r="B63" s="47" t="str">
        <f ca="1">IFERROR(__xludf.DUMMYFUNCTION("""COMPUTED_VALUE"""),"5419318")</f>
        <v>5419318</v>
      </c>
      <c r="C63" s="48" t="str">
        <f ca="1">IFERROR(__xludf.DUMMYFUNCTION("""COMPUTED_VALUE"""),"CHARBONNIER")</f>
        <v>CHARBONNIER</v>
      </c>
      <c r="D63" s="48" t="str">
        <f ca="1">IFERROR(__xludf.DUMMYFUNCTION("""COMPUTED_VALUE"""),"Thierry")</f>
        <v>Thierry</v>
      </c>
      <c r="E63" s="49" t="str">
        <f ca="1">IFERROR(__xludf.DUMMYFUNCTION("""COMPUTED_VALUE"""),"06540043")</f>
        <v>06540043</v>
      </c>
      <c r="F63" s="48" t="str">
        <f ca="1">IFERROR(__xludf.DUMMYFUNCTION("""COMPUTED_VALUE"""),"NANCY S.L.U.C.")</f>
        <v>NANCY S.L.U.C.</v>
      </c>
      <c r="G63" s="50" t="str">
        <f ca="1">IFERROR(__xludf.DUMMYFUNCTION("""COMPUTED_VALUE"""),"CD54")</f>
        <v>CD54</v>
      </c>
      <c r="H63" s="50" t="str">
        <f ca="1">IFERROR(__xludf.DUMMYFUNCTION("""COMPUTED_VALUE"""),"actif")</f>
        <v>actif</v>
      </c>
    </row>
    <row r="64" spans="1:8" ht="12.75">
      <c r="A64" s="46">
        <f ca="1">IFERROR(__xludf.DUMMYFUNCTION("""COMPUTED_VALUE"""),52)</f>
        <v>52</v>
      </c>
      <c r="B64" s="47" t="str">
        <f ca="1">IFERROR(__xludf.DUMMYFUNCTION("""COMPUTED_VALUE"""),"5436016")</f>
        <v>5436016</v>
      </c>
      <c r="C64" s="48" t="str">
        <f ca="1">IFERROR(__xludf.DUMMYFUNCTION("""COMPUTED_VALUE"""),"CHARLIER")</f>
        <v>CHARLIER</v>
      </c>
      <c r="D64" s="48" t="str">
        <f ca="1">IFERROR(__xludf.DUMMYFUNCTION("""COMPUTED_VALUE"""),"Elliot")</f>
        <v>Elliot</v>
      </c>
      <c r="E64" s="49" t="str">
        <f ca="1">IFERROR(__xludf.DUMMYFUNCTION("""COMPUTED_VALUE"""),"06540040")</f>
        <v>06540040</v>
      </c>
      <c r="F64" s="48" t="str">
        <f ca="1">IFERROR(__xludf.DUMMYFUNCTION("""COMPUTED_VALUE"""),"VILLERS LES NANCY C.O.S.")</f>
        <v>VILLERS LES NANCY C.O.S.</v>
      </c>
      <c r="G64" s="50" t="str">
        <f ca="1">IFERROR(__xludf.DUMMYFUNCTION("""COMPUTED_VALUE"""),"CD54")</f>
        <v>CD54</v>
      </c>
      <c r="H64" s="50" t="str">
        <f ca="1">IFERROR(__xludf.DUMMYFUNCTION("""COMPUTED_VALUE"""),"actif")</f>
        <v>actif</v>
      </c>
    </row>
    <row r="65" spans="1:8" ht="12.75">
      <c r="A65" s="46">
        <f ca="1">IFERROR(__xludf.DUMMYFUNCTION("""COMPUTED_VALUE"""),53)</f>
        <v>53</v>
      </c>
      <c r="B65" s="47" t="str">
        <f ca="1">IFERROR(__xludf.DUMMYFUNCTION("""COMPUTED_VALUE"""),"219098")</f>
        <v>219098</v>
      </c>
      <c r="C65" s="48" t="str">
        <f ca="1">IFERROR(__xludf.DUMMYFUNCTION("""COMPUTED_VALUE"""),"CHAUMONNOT")</f>
        <v>CHAUMONNOT</v>
      </c>
      <c r="D65" s="48" t="str">
        <f ca="1">IFERROR(__xludf.DUMMYFUNCTION("""COMPUTED_VALUE"""),"Florent")</f>
        <v>Florent</v>
      </c>
      <c r="E65" s="49" t="str">
        <f ca="1">IFERROR(__xludf.DUMMYFUNCTION("""COMPUTED_VALUE"""),"06520002")</f>
        <v>06520002</v>
      </c>
      <c r="F65" s="48" t="str">
        <f ca="1">IFERROR(__xludf.DUMMYFUNCTION("""COMPUTED_VALUE"""),"CHALINDREY CS")</f>
        <v>CHALINDREY CS</v>
      </c>
      <c r="G65" s="50" t="str">
        <f ca="1">IFERROR(__xludf.DUMMYFUNCTION("""COMPUTED_VALUE"""),"CD52")</f>
        <v>CD52</v>
      </c>
      <c r="H65" s="50" t="str">
        <f ca="1">IFERROR(__xludf.DUMMYFUNCTION("""COMPUTED_VALUE"""),"actif")</f>
        <v>actif</v>
      </c>
    </row>
    <row r="66" spans="1:8" ht="12.75">
      <c r="A66" s="46">
        <f ca="1">IFERROR(__xludf.DUMMYFUNCTION("""COMPUTED_VALUE"""),54)</f>
        <v>54</v>
      </c>
      <c r="B66" s="47" t="str">
        <f ca="1">IFERROR(__xludf.DUMMYFUNCTION("""COMPUTED_VALUE"""),"5737533")</f>
        <v>5737533</v>
      </c>
      <c r="C66" s="48" t="str">
        <f ca="1">IFERROR(__xludf.DUMMYFUNCTION("""COMPUTED_VALUE"""),"CHAUSSIN")</f>
        <v>CHAUSSIN</v>
      </c>
      <c r="D66" s="48" t="str">
        <f ca="1">IFERROR(__xludf.DUMMYFUNCTION("""COMPUTED_VALUE"""),"Tom")</f>
        <v>Tom</v>
      </c>
      <c r="E66" s="49" t="str">
        <f ca="1">IFERROR(__xludf.DUMMYFUNCTION("""COMPUTED_VALUE"""),"06570073")</f>
        <v>06570073</v>
      </c>
      <c r="F66" s="48" t="str">
        <f ca="1">IFERROR(__xludf.DUMMYFUNCTION("""COMPUTED_VALUE"""),"TERVILLE Tennis de Table")</f>
        <v>TERVILLE Tennis de Table</v>
      </c>
      <c r="G66" s="50" t="str">
        <f ca="1">IFERROR(__xludf.DUMMYFUNCTION("""COMPUTED_VALUE"""),"CD57")</f>
        <v>CD57</v>
      </c>
      <c r="H66" s="50" t="str">
        <f ca="1">IFERROR(__xludf.DUMMYFUNCTION("""COMPUTED_VALUE"""),"actif")</f>
        <v>actif</v>
      </c>
    </row>
    <row r="67" spans="1:8" ht="12.75">
      <c r="A67" s="46">
        <f ca="1">IFERROR(__xludf.DUMMYFUNCTION("""COMPUTED_VALUE"""),55)</f>
        <v>55</v>
      </c>
      <c r="B67" s="47" t="str">
        <f ca="1">IFERROR(__xludf.DUMMYFUNCTION("""COMPUTED_VALUE"""),"5739881")</f>
        <v>5739881</v>
      </c>
      <c r="C67" s="48" t="str">
        <f ca="1">IFERROR(__xludf.DUMMYFUNCTION("""COMPUTED_VALUE"""),"CHAUSSIN")</f>
        <v>CHAUSSIN</v>
      </c>
      <c r="D67" s="48" t="str">
        <f ca="1">IFERROR(__xludf.DUMMYFUNCTION("""COMPUTED_VALUE"""),"Cyrille")</f>
        <v>Cyrille</v>
      </c>
      <c r="E67" s="49" t="str">
        <f ca="1">IFERROR(__xludf.DUMMYFUNCTION("""COMPUTED_VALUE"""),"06570073")</f>
        <v>06570073</v>
      </c>
      <c r="F67" s="48" t="str">
        <f ca="1">IFERROR(__xludf.DUMMYFUNCTION("""COMPUTED_VALUE"""),"TERVILLE Tennis de Table")</f>
        <v>TERVILLE Tennis de Table</v>
      </c>
      <c r="G67" s="50" t="str">
        <f ca="1">IFERROR(__xludf.DUMMYFUNCTION("""COMPUTED_VALUE"""),"CD57")</f>
        <v>CD57</v>
      </c>
      <c r="H67" s="50" t="str">
        <f ca="1">IFERROR(__xludf.DUMMYFUNCTION("""COMPUTED_VALUE"""),"actif")</f>
        <v>actif</v>
      </c>
    </row>
    <row r="68" spans="1:8" ht="12.75">
      <c r="A68" s="46">
        <f ca="1">IFERROR(__xludf.DUMMYFUNCTION("""COMPUTED_VALUE"""),56)</f>
        <v>56</v>
      </c>
      <c r="B68" s="47" t="str">
        <f ca="1">IFERROR(__xludf.DUMMYFUNCTION("""COMPUTED_VALUE"""),"5717854")</f>
        <v>5717854</v>
      </c>
      <c r="C68" s="48" t="str">
        <f ca="1">IFERROR(__xludf.DUMMYFUNCTION("""COMPUTED_VALUE"""),"CHEVALIER")</f>
        <v>CHEVALIER</v>
      </c>
      <c r="D68" s="48" t="str">
        <f ca="1">IFERROR(__xludf.DUMMYFUNCTION("""COMPUTED_VALUE"""),"Sylvie")</f>
        <v>Sylvie</v>
      </c>
      <c r="E68" s="49" t="str">
        <f ca="1">IFERROR(__xludf.DUMMYFUNCTION("""COMPUTED_VALUE"""),"06570024")</f>
        <v>06570024</v>
      </c>
      <c r="F68" s="48" t="str">
        <f ca="1">IFERROR(__xludf.DUMMYFUNCTION("""COMPUTED_VALUE"""),"THIONVILLE Tennis de Table")</f>
        <v>THIONVILLE Tennis de Table</v>
      </c>
      <c r="G68" s="50" t="str">
        <f ca="1">IFERROR(__xludf.DUMMYFUNCTION("""COMPUTED_VALUE"""),"CD57")</f>
        <v>CD57</v>
      </c>
      <c r="H68" s="50" t="str">
        <f ca="1">IFERROR(__xludf.DUMMYFUNCTION("""COMPUTED_VALUE"""),"actif")</f>
        <v>actif</v>
      </c>
    </row>
    <row r="69" spans="1:8" ht="12.75">
      <c r="A69" s="46">
        <f ca="1">IFERROR(__xludf.DUMMYFUNCTION("""COMPUTED_VALUE"""),57)</f>
        <v>57</v>
      </c>
      <c r="B69" s="47" t="str">
        <f ca="1">IFERROR(__xludf.DUMMYFUNCTION("""COMPUTED_VALUE"""),"678141")</f>
        <v>678141</v>
      </c>
      <c r="C69" s="48" t="str">
        <f ca="1">IFERROR(__xludf.DUMMYFUNCTION("""COMPUTED_VALUE"""),"CHOFFARDET")</f>
        <v>CHOFFARDET</v>
      </c>
      <c r="D69" s="48" t="str">
        <f ca="1">IFERROR(__xludf.DUMMYFUNCTION("""COMPUTED_VALUE"""),"Didier")</f>
        <v>Didier</v>
      </c>
      <c r="E69" s="49" t="str">
        <f ca="1">IFERROR(__xludf.DUMMYFUNCTION("""COMPUTED_VALUE"""),"06670043")</f>
        <v>06670043</v>
      </c>
      <c r="F69" s="48" t="str">
        <f ca="1">IFERROR(__xludf.DUMMYFUNCTION("""COMPUTED_VALUE"""),"BRUMATH UNITAS Tennis de Table")</f>
        <v>BRUMATH UNITAS Tennis de Table</v>
      </c>
      <c r="G69" s="50" t="str">
        <f ca="1">IFERROR(__xludf.DUMMYFUNCTION("""COMPUTED_VALUE"""),"CD67")</f>
        <v>CD67</v>
      </c>
      <c r="H69" s="50" t="str">
        <f ca="1">IFERROR(__xludf.DUMMYFUNCTION("""COMPUTED_VALUE"""),"actif")</f>
        <v>actif</v>
      </c>
    </row>
    <row r="70" spans="1:8" ht="12.75">
      <c r="A70" s="46">
        <f ca="1">IFERROR(__xludf.DUMMYFUNCTION("""COMPUTED_VALUE"""),58)</f>
        <v>58</v>
      </c>
      <c r="B70" s="47" t="str">
        <f ca="1">IFERROR(__xludf.DUMMYFUNCTION("""COMPUTED_VALUE"""),"5432007")</f>
        <v>5432007</v>
      </c>
      <c r="C70" s="48" t="str">
        <f ca="1">IFERROR(__xludf.DUMMYFUNCTION("""COMPUTED_VALUE"""),"CLAREN")</f>
        <v>CLAREN</v>
      </c>
      <c r="D70" s="48" t="str">
        <f ca="1">IFERROR(__xludf.DUMMYFUNCTION("""COMPUTED_VALUE"""),"Eliot")</f>
        <v>Eliot</v>
      </c>
      <c r="E70" s="49" t="str">
        <f ca="1">IFERROR(__xludf.DUMMYFUNCTION("""COMPUTED_VALUE"""),"06540184")</f>
        <v>06540184</v>
      </c>
      <c r="F70" s="48" t="str">
        <f ca="1">IFERROR(__xludf.DUMMYFUNCTION("""COMPUTED_VALUE"""),"BATILLY Tennis de Table")</f>
        <v>BATILLY Tennis de Table</v>
      </c>
      <c r="G70" s="50" t="str">
        <f ca="1">IFERROR(__xludf.DUMMYFUNCTION("""COMPUTED_VALUE"""),"CD54")</f>
        <v>CD54</v>
      </c>
      <c r="H70" s="50" t="str">
        <f ca="1">IFERROR(__xludf.DUMMYFUNCTION("""COMPUTED_VALUE"""),"actif")</f>
        <v>actif</v>
      </c>
    </row>
    <row r="71" spans="1:8" ht="12.75">
      <c r="A71" s="46">
        <f ca="1">IFERROR(__xludf.DUMMYFUNCTION("""COMPUTED_VALUE"""),59)</f>
        <v>59</v>
      </c>
      <c r="B71" s="47" t="str">
        <f ca="1">IFERROR(__xludf.DUMMYFUNCTION("""COMPUTED_VALUE"""),"5429283")</f>
        <v>5429283</v>
      </c>
      <c r="C71" s="48" t="str">
        <f ca="1">IFERROR(__xludf.DUMMYFUNCTION("""COMPUTED_VALUE"""),"CLEMENT")</f>
        <v>CLEMENT</v>
      </c>
      <c r="D71" s="48" t="str">
        <f ca="1">IFERROR(__xludf.DUMMYFUNCTION("""COMPUTED_VALUE"""),"Gregory")</f>
        <v>Gregory</v>
      </c>
      <c r="E71" s="49" t="str">
        <f ca="1">IFERROR(__xludf.DUMMYFUNCTION("""COMPUTED_VALUE"""),"06540011")</f>
        <v>06540011</v>
      </c>
      <c r="F71" s="48" t="str">
        <f ca="1">IFERROR(__xludf.DUMMYFUNCTION("""COMPUTED_VALUE"""),"Frouard O.F.P.")</f>
        <v>Frouard O.F.P.</v>
      </c>
      <c r="G71" s="50" t="str">
        <f ca="1">IFERROR(__xludf.DUMMYFUNCTION("""COMPUTED_VALUE"""),"CD54")</f>
        <v>CD54</v>
      </c>
      <c r="H71" s="50" t="str">
        <f ca="1">IFERROR(__xludf.DUMMYFUNCTION("""COMPUTED_VALUE"""),"actif")</f>
        <v>actif</v>
      </c>
    </row>
    <row r="72" spans="1:8" ht="12.75">
      <c r="A72" s="46">
        <f ca="1">IFERROR(__xludf.DUMMYFUNCTION("""COMPUTED_VALUE"""),60)</f>
        <v>60</v>
      </c>
      <c r="B72" s="47" t="str">
        <f ca="1">IFERROR(__xludf.DUMMYFUNCTION("""COMPUTED_VALUE"""),"0812225")</f>
        <v>0812225</v>
      </c>
      <c r="C72" s="48" t="str">
        <f ca="1">IFERROR(__xludf.DUMMYFUNCTION("""COMPUTED_VALUE"""),"COFFIN")</f>
        <v>COFFIN</v>
      </c>
      <c r="D72" s="48" t="str">
        <f ca="1">IFERROR(__xludf.DUMMYFUNCTION("""COMPUTED_VALUE"""),"Lucas")</f>
        <v>Lucas</v>
      </c>
      <c r="E72" s="49" t="str">
        <f ca="1">IFERROR(__xludf.DUMMYFUNCTION("""COMPUTED_VALUE"""),"06080064")</f>
        <v>06080064</v>
      </c>
      <c r="F72" s="48" t="str">
        <f ca="1">IFERROR(__xludf.DUMMYFUNCTION("""COMPUTED_VALUE"""),"VIVIER AU COURT CTT")</f>
        <v>VIVIER AU COURT CTT</v>
      </c>
      <c r="G72" s="50" t="str">
        <f ca="1">IFERROR(__xludf.DUMMYFUNCTION("""COMPUTED_VALUE"""),"CD08")</f>
        <v>CD08</v>
      </c>
      <c r="H72" s="50" t="str">
        <f ca="1">IFERROR(__xludf.DUMMYFUNCTION("""COMPUTED_VALUE"""),"actif")</f>
        <v>actif</v>
      </c>
    </row>
    <row r="73" spans="1:8" ht="12.75">
      <c r="A73" s="46">
        <f ca="1">IFERROR(__xludf.DUMMYFUNCTION("""COMPUTED_VALUE"""),61)</f>
        <v>61</v>
      </c>
      <c r="B73" s="47" t="str">
        <f ca="1">IFERROR(__xludf.DUMMYFUNCTION("""COMPUTED_VALUE"""),"5439201")</f>
        <v>5439201</v>
      </c>
      <c r="C73" s="48" t="str">
        <f ca="1">IFERROR(__xludf.DUMMYFUNCTION("""COMPUTED_VALUE"""),"CONSTANT")</f>
        <v>CONSTANT</v>
      </c>
      <c r="D73" s="48" t="str">
        <f ca="1">IFERROR(__xludf.DUMMYFUNCTION("""COMPUTED_VALUE"""),"Neoh")</f>
        <v>Neoh</v>
      </c>
      <c r="E73" s="49" t="str">
        <f ca="1">IFERROR(__xludf.DUMMYFUNCTION("""COMPUTED_VALUE"""),"06540010")</f>
        <v>06540010</v>
      </c>
      <c r="F73" s="48" t="str">
        <f ca="1">IFERROR(__xludf.DUMMYFUNCTION("""COMPUTED_VALUE"""),"FOUG C.P.")</f>
        <v>FOUG C.P.</v>
      </c>
      <c r="G73" s="50" t="str">
        <f ca="1">IFERROR(__xludf.DUMMYFUNCTION("""COMPUTED_VALUE"""),"CD54")</f>
        <v>CD54</v>
      </c>
      <c r="H73" s="50" t="str">
        <f ca="1">IFERROR(__xludf.DUMMYFUNCTION("""COMPUTED_VALUE"""),"actif")</f>
        <v>actif</v>
      </c>
    </row>
    <row r="74" spans="1:8" ht="12.75">
      <c r="A74" s="46">
        <f ca="1">IFERROR(__xludf.DUMMYFUNCTION("""COMPUTED_VALUE"""),62)</f>
        <v>62</v>
      </c>
      <c r="B74" s="47" t="str">
        <f ca="1">IFERROR(__xludf.DUMMYFUNCTION("""COMPUTED_VALUE"""),"082384")</f>
        <v>082384</v>
      </c>
      <c r="C74" s="48" t="str">
        <f ca="1">IFERROR(__xludf.DUMMYFUNCTION("""COMPUTED_VALUE"""),"COSSON")</f>
        <v>COSSON</v>
      </c>
      <c r="D74" s="48" t="str">
        <f ca="1">IFERROR(__xludf.DUMMYFUNCTION("""COMPUTED_VALUE"""),"Lysiane")</f>
        <v>Lysiane</v>
      </c>
      <c r="E74" s="49" t="str">
        <f ca="1">IFERROR(__xludf.DUMMYFUNCTION("""COMPUTED_VALUE"""),"06080035")</f>
        <v>06080035</v>
      </c>
      <c r="F74" s="48" t="str">
        <f ca="1">IFERROR(__xludf.DUMMYFUNCTION("""COMPUTED_VALUE"""),"CHARLEVILLE MEZIERES ARDENNES TT")</f>
        <v>CHARLEVILLE MEZIERES ARDENNES TT</v>
      </c>
      <c r="G74" s="50" t="str">
        <f ca="1">IFERROR(__xludf.DUMMYFUNCTION("""COMPUTED_VALUE"""),"CD08")</f>
        <v>CD08</v>
      </c>
      <c r="H74" s="50" t="str">
        <f ca="1">IFERROR(__xludf.DUMMYFUNCTION("""COMPUTED_VALUE"""),"actif")</f>
        <v>actif</v>
      </c>
    </row>
    <row r="75" spans="1:8" ht="12.75">
      <c r="A75" s="46">
        <f ca="1">IFERROR(__xludf.DUMMYFUNCTION("""COMPUTED_VALUE"""),63)</f>
        <v>63</v>
      </c>
      <c r="B75" s="47" t="str">
        <f ca="1">IFERROR(__xludf.DUMMYFUNCTION("""COMPUTED_VALUE"""),"5435900")</f>
        <v>5435900</v>
      </c>
      <c r="C75" s="48" t="str">
        <f ca="1">IFERROR(__xludf.DUMMYFUNCTION("""COMPUTED_VALUE"""),"COUTURIER")</f>
        <v>COUTURIER</v>
      </c>
      <c r="D75" s="48" t="str">
        <f ca="1">IFERROR(__xludf.DUMMYFUNCTION("""COMPUTED_VALUE"""),"Lucas")</f>
        <v>Lucas</v>
      </c>
      <c r="E75" s="49" t="str">
        <f ca="1">IFERROR(__xludf.DUMMYFUNCTION("""COMPUTED_VALUE"""),"06540184")</f>
        <v>06540184</v>
      </c>
      <c r="F75" s="48" t="str">
        <f ca="1">IFERROR(__xludf.DUMMYFUNCTION("""COMPUTED_VALUE"""),"BATILLY Tennis de Table")</f>
        <v>BATILLY Tennis de Table</v>
      </c>
      <c r="G75" s="50" t="str">
        <f ca="1">IFERROR(__xludf.DUMMYFUNCTION("""COMPUTED_VALUE"""),"CD54")</f>
        <v>CD54</v>
      </c>
      <c r="H75" s="50" t="str">
        <f ca="1">IFERROR(__xludf.DUMMYFUNCTION("""COMPUTED_VALUE"""),"actif")</f>
        <v>actif</v>
      </c>
    </row>
    <row r="76" spans="1:8" ht="12.75">
      <c r="A76" s="46">
        <f ca="1">IFERROR(__xludf.DUMMYFUNCTION("""COMPUTED_VALUE"""),64)</f>
        <v>64</v>
      </c>
      <c r="B76" s="47" t="str">
        <f ca="1">IFERROR(__xludf.DUMMYFUNCTION("""COMPUTED_VALUE"""),"084554")</f>
        <v>084554</v>
      </c>
      <c r="C76" s="48" t="str">
        <f ca="1">IFERROR(__xludf.DUMMYFUNCTION("""COMPUTED_VALUE"""),"CRETON")</f>
        <v>CRETON</v>
      </c>
      <c r="D76" s="48" t="str">
        <f ca="1">IFERROR(__xludf.DUMMYFUNCTION("""COMPUTED_VALUE"""),"Maxime")</f>
        <v>Maxime</v>
      </c>
      <c r="E76" s="49" t="str">
        <f ca="1">IFERROR(__xludf.DUMMYFUNCTION("""COMPUTED_VALUE"""),"06080006")</f>
        <v>06080006</v>
      </c>
      <c r="F76" s="48" t="str">
        <f ca="1">IFERROR(__xludf.DUMMYFUNCTION("""COMPUTED_VALUE"""),"BAZEILLES PPC")</f>
        <v>BAZEILLES PPC</v>
      </c>
      <c r="G76" s="50" t="str">
        <f ca="1">IFERROR(__xludf.DUMMYFUNCTION("""COMPUTED_VALUE"""),"CD08")</f>
        <v>CD08</v>
      </c>
      <c r="H76" s="50" t="str">
        <f ca="1">IFERROR(__xludf.DUMMYFUNCTION("""COMPUTED_VALUE"""),"actif")</f>
        <v>actif</v>
      </c>
    </row>
    <row r="77" spans="1:8" ht="12.75">
      <c r="A77" s="46">
        <f ca="1">IFERROR(__xludf.DUMMYFUNCTION("""COMPUTED_VALUE"""),65)</f>
        <v>65</v>
      </c>
      <c r="B77" s="47" t="str">
        <f ca="1">IFERROR(__xludf.DUMMYFUNCTION("""COMPUTED_VALUE"""),"683787")</f>
        <v>683787</v>
      </c>
      <c r="C77" s="48" t="str">
        <f ca="1">IFERROR(__xludf.DUMMYFUNCTION("""COMPUTED_VALUE"""),"CRISTINI")</f>
        <v>CRISTINI</v>
      </c>
      <c r="D77" s="48" t="str">
        <f ca="1">IFERROR(__xludf.DUMMYFUNCTION("""COMPUTED_VALUE"""),"Nello")</f>
        <v>Nello</v>
      </c>
      <c r="E77" s="49" t="str">
        <f ca="1">IFERROR(__xludf.DUMMYFUNCTION("""COMPUTED_VALUE"""),"06680011")</f>
        <v>06680011</v>
      </c>
      <c r="F77" s="48" t="str">
        <f ca="1">IFERROR(__xludf.DUMMYFUNCTION("""COMPUTED_VALUE"""),"RIXHEIM PPA")</f>
        <v>RIXHEIM PPA</v>
      </c>
      <c r="G77" s="50" t="str">
        <f ca="1">IFERROR(__xludf.DUMMYFUNCTION("""COMPUTED_VALUE"""),"CD68")</f>
        <v>CD68</v>
      </c>
      <c r="H77" s="50" t="str">
        <f ca="1">IFERROR(__xludf.DUMMYFUNCTION("""COMPUTED_VALUE"""),"actif")</f>
        <v>actif</v>
      </c>
    </row>
    <row r="78" spans="1:8" ht="12.75">
      <c r="A78" s="46">
        <f ca="1">IFERROR(__xludf.DUMMYFUNCTION("""COMPUTED_VALUE"""),66)</f>
        <v>66</v>
      </c>
      <c r="B78" s="47" t="str">
        <f ca="1">IFERROR(__xludf.DUMMYFUNCTION("""COMPUTED_VALUE"""),"881500")</f>
        <v>881500</v>
      </c>
      <c r="C78" s="48" t="str">
        <f ca="1">IFERROR(__xludf.DUMMYFUNCTION("""COMPUTED_VALUE"""),"DA COSTA")</f>
        <v>DA COSTA</v>
      </c>
      <c r="D78" s="48" t="str">
        <f ca="1">IFERROR(__xludf.DUMMYFUNCTION("""COMPUTED_VALUE"""),"Jean")</f>
        <v>Jean</v>
      </c>
      <c r="E78" s="49" t="str">
        <f ca="1">IFERROR(__xludf.DUMMYFUNCTION("""COMPUTED_VALUE"""),"06880086")</f>
        <v>06880086</v>
      </c>
      <c r="F78" s="48" t="str">
        <f ca="1">IFERROR(__xludf.DUMMYFUNCTION("""COMPUTED_VALUE"""),"MOYENMOUTIER VRTT")</f>
        <v>MOYENMOUTIER VRTT</v>
      </c>
      <c r="G78" s="50" t="str">
        <f ca="1">IFERROR(__xludf.DUMMYFUNCTION("""COMPUTED_VALUE"""),"CD88")</f>
        <v>CD88</v>
      </c>
      <c r="H78" s="50" t="str">
        <f ca="1">IFERROR(__xludf.DUMMYFUNCTION("""COMPUTED_VALUE"""),"actif")</f>
        <v>actif</v>
      </c>
    </row>
    <row r="79" spans="1:8" ht="12.75">
      <c r="A79" s="46">
        <f ca="1">IFERROR(__xludf.DUMMYFUNCTION("""COMPUTED_VALUE"""),67)</f>
        <v>67</v>
      </c>
      <c r="B79" s="47" t="str">
        <f ca="1">IFERROR(__xludf.DUMMYFUNCTION("""COMPUTED_VALUE"""),"5511822")</f>
        <v>5511822</v>
      </c>
      <c r="C79" s="48" t="str">
        <f ca="1">IFERROR(__xludf.DUMMYFUNCTION("""COMPUTED_VALUE"""),"DAL'ZUFFO")</f>
        <v>DAL'ZUFFO</v>
      </c>
      <c r="D79" s="48" t="str">
        <f ca="1">IFERROR(__xludf.DUMMYFUNCTION("""COMPUTED_VALUE"""),"Alexis")</f>
        <v>Alexis</v>
      </c>
      <c r="E79" s="49" t="str">
        <f ca="1">IFERROR(__xludf.DUMMYFUNCTION("""COMPUTED_VALUE"""),"06550003")</f>
        <v>06550003</v>
      </c>
      <c r="F79" s="48" t="str">
        <f ca="1">IFERROR(__xludf.DUMMYFUNCTION("""COMPUTED_VALUE"""),"COMMERCY P.P.C.")</f>
        <v>COMMERCY P.P.C.</v>
      </c>
      <c r="G79" s="50" t="str">
        <f ca="1">IFERROR(__xludf.DUMMYFUNCTION("""COMPUTED_VALUE"""),"CD55")</f>
        <v>CD55</v>
      </c>
      <c r="H79" s="50" t="str">
        <f ca="1">IFERROR(__xludf.DUMMYFUNCTION("""COMPUTED_VALUE"""),"actif")</f>
        <v>actif</v>
      </c>
    </row>
    <row r="80" spans="1:8" ht="12.75">
      <c r="A80" s="46">
        <f ca="1">IFERROR(__xludf.DUMMYFUNCTION("""COMPUTED_VALUE"""),68)</f>
        <v>68</v>
      </c>
      <c r="B80" s="47" t="str">
        <f ca="1">IFERROR(__xludf.DUMMYFUNCTION("""COMPUTED_VALUE"""),"557792")</f>
        <v>557792</v>
      </c>
      <c r="C80" s="48" t="str">
        <f ca="1">IFERROR(__xludf.DUMMYFUNCTION("""COMPUTED_VALUE"""),"DANLOUP")</f>
        <v>DANLOUP</v>
      </c>
      <c r="D80" s="48" t="str">
        <f ca="1">IFERROR(__xludf.DUMMYFUNCTION("""COMPUTED_VALUE"""),"Lucas")</f>
        <v>Lucas</v>
      </c>
      <c r="E80" s="49" t="str">
        <f ca="1">IFERROR(__xludf.DUMMYFUNCTION("""COMPUTED_VALUE"""),"06550005")</f>
        <v>06550005</v>
      </c>
      <c r="F80" s="48" t="str">
        <f ca="1">IFERROR(__xludf.DUMMYFUNCTION("""COMPUTED_VALUE"""),"SAINT MIHIEL P.P.C.")</f>
        <v>SAINT MIHIEL P.P.C.</v>
      </c>
      <c r="G80" s="50" t="str">
        <f ca="1">IFERROR(__xludf.DUMMYFUNCTION("""COMPUTED_VALUE"""),"CD55")</f>
        <v>CD55</v>
      </c>
      <c r="H80" s="50" t="str">
        <f ca="1">IFERROR(__xludf.DUMMYFUNCTION("""COMPUTED_VALUE"""),"actif")</f>
        <v>actif</v>
      </c>
    </row>
    <row r="81" spans="1:8" ht="12.75">
      <c r="A81" s="46">
        <f ca="1">IFERROR(__xludf.DUMMYFUNCTION("""COMPUTED_VALUE"""),69)</f>
        <v>69</v>
      </c>
      <c r="B81" s="47" t="str">
        <f ca="1">IFERROR(__xludf.DUMMYFUNCTION("""COMPUTED_VALUE"""),"558131")</f>
        <v>558131</v>
      </c>
      <c r="C81" s="48" t="str">
        <f ca="1">IFERROR(__xludf.DUMMYFUNCTION("""COMPUTED_VALUE"""),"DANLOUP")</f>
        <v>DANLOUP</v>
      </c>
      <c r="D81" s="48" t="str">
        <f ca="1">IFERROR(__xludf.DUMMYFUNCTION("""COMPUTED_VALUE"""),"Sebastien")</f>
        <v>Sebastien</v>
      </c>
      <c r="E81" s="49" t="str">
        <f ca="1">IFERROR(__xludf.DUMMYFUNCTION("""COMPUTED_VALUE"""),"06550005")</f>
        <v>06550005</v>
      </c>
      <c r="F81" s="48" t="str">
        <f ca="1">IFERROR(__xludf.DUMMYFUNCTION("""COMPUTED_VALUE"""),"SAINT MIHIEL P.P.C.")</f>
        <v>SAINT MIHIEL P.P.C.</v>
      </c>
      <c r="G81" s="50" t="str">
        <f ca="1">IFERROR(__xludf.DUMMYFUNCTION("""COMPUTED_VALUE"""),"CD55")</f>
        <v>CD55</v>
      </c>
      <c r="H81" s="50" t="str">
        <f ca="1">IFERROR(__xludf.DUMMYFUNCTION("""COMPUTED_VALUE"""),"actif")</f>
        <v>actif</v>
      </c>
    </row>
    <row r="82" spans="1:8" ht="12.75">
      <c r="A82" s="46">
        <f ca="1">IFERROR(__xludf.DUMMYFUNCTION("""COMPUTED_VALUE"""),70)</f>
        <v>70</v>
      </c>
      <c r="B82" s="47" t="str">
        <f ca="1">IFERROR(__xludf.DUMMYFUNCTION("""COMPUTED_VALUE"""),"0811978")</f>
        <v>0811978</v>
      </c>
      <c r="C82" s="48" t="str">
        <f ca="1">IFERROR(__xludf.DUMMYFUNCTION("""COMPUTED_VALUE"""),"DAY")</f>
        <v>DAY</v>
      </c>
      <c r="D82" s="48" t="str">
        <f ca="1">IFERROR(__xludf.DUMMYFUNCTION("""COMPUTED_VALUE"""),"Nathan")</f>
        <v>Nathan</v>
      </c>
      <c r="E82" s="49" t="str">
        <f ca="1">IFERROR(__xludf.DUMMYFUNCTION("""COMPUTED_VALUE"""),"06510001")</f>
        <v>06510001</v>
      </c>
      <c r="F82" s="48" t="str">
        <f ca="1">IFERROR(__xludf.DUMMYFUNCTION("""COMPUTED_VALUE"""),"REIMS OLYMPIQUE TT")</f>
        <v>REIMS OLYMPIQUE TT</v>
      </c>
      <c r="G82" s="50" t="str">
        <f ca="1">IFERROR(__xludf.DUMMYFUNCTION("""COMPUTED_VALUE"""),"CD51")</f>
        <v>CD51</v>
      </c>
      <c r="H82" s="50" t="str">
        <f ca="1">IFERROR(__xludf.DUMMYFUNCTION("""COMPUTED_VALUE"""),"actif")</f>
        <v>actif</v>
      </c>
    </row>
    <row r="83" spans="1:8" ht="12.75">
      <c r="A83" s="46">
        <f ca="1">IFERROR(__xludf.DUMMYFUNCTION("""COMPUTED_VALUE"""),71)</f>
        <v>71</v>
      </c>
      <c r="B83" s="47" t="str">
        <f ca="1">IFERROR(__xludf.DUMMYFUNCTION("""COMPUTED_VALUE"""),"5734952")</f>
        <v>5734952</v>
      </c>
      <c r="C83" s="48" t="str">
        <f ca="1">IFERROR(__xludf.DUMMYFUNCTION("""COMPUTED_VALUE"""),"DE ALMEIDA")</f>
        <v>DE ALMEIDA</v>
      </c>
      <c r="D83" s="48" t="str">
        <f ca="1">IFERROR(__xludf.DUMMYFUNCTION("""COMPUTED_VALUE"""),"Paul")</f>
        <v>Paul</v>
      </c>
      <c r="E83" s="49" t="str">
        <f ca="1">IFERROR(__xludf.DUMMYFUNCTION("""COMPUTED_VALUE"""),"06570024")</f>
        <v>06570024</v>
      </c>
      <c r="F83" s="48" t="str">
        <f ca="1">IFERROR(__xludf.DUMMYFUNCTION("""COMPUTED_VALUE"""),"THIONVILLE Tennis de Table")</f>
        <v>THIONVILLE Tennis de Table</v>
      </c>
      <c r="G83" s="50" t="str">
        <f ca="1">IFERROR(__xludf.DUMMYFUNCTION("""COMPUTED_VALUE"""),"CD57")</f>
        <v>CD57</v>
      </c>
      <c r="H83" s="50" t="str">
        <f ca="1">IFERROR(__xludf.DUMMYFUNCTION("""COMPUTED_VALUE"""),"actif")</f>
        <v>actif</v>
      </c>
    </row>
    <row r="84" spans="1:8" ht="12.75">
      <c r="A84" s="46">
        <f ca="1">IFERROR(__xludf.DUMMYFUNCTION("""COMPUTED_VALUE"""),72)</f>
        <v>72</v>
      </c>
      <c r="B84" s="47" t="str">
        <f ca="1">IFERROR(__xludf.DUMMYFUNCTION("""COMPUTED_VALUE"""),"7621190")</f>
        <v>7621190</v>
      </c>
      <c r="C84" s="48" t="str">
        <f ca="1">IFERROR(__xludf.DUMMYFUNCTION("""COMPUTED_VALUE"""),"DEBRUYNE")</f>
        <v>DEBRUYNE</v>
      </c>
      <c r="D84" s="48" t="str">
        <f ca="1">IFERROR(__xludf.DUMMYFUNCTION("""COMPUTED_VALUE"""),"Kevin")</f>
        <v>Kevin</v>
      </c>
      <c r="E84" s="49" t="str">
        <f ca="1">IFERROR(__xludf.DUMMYFUNCTION("""COMPUTED_VALUE"""),"06570024")</f>
        <v>06570024</v>
      </c>
      <c r="F84" s="48" t="str">
        <f ca="1">IFERROR(__xludf.DUMMYFUNCTION("""COMPUTED_VALUE"""),"THIONVILLE Tennis de Table")</f>
        <v>THIONVILLE Tennis de Table</v>
      </c>
      <c r="G84" s="50" t="str">
        <f ca="1">IFERROR(__xludf.DUMMYFUNCTION("""COMPUTED_VALUE"""),"CD57")</f>
        <v>CD57</v>
      </c>
      <c r="H84" s="50" t="str">
        <f ca="1">IFERROR(__xludf.DUMMYFUNCTION("""COMPUTED_VALUE"""),"actif")</f>
        <v>actif</v>
      </c>
    </row>
    <row r="85" spans="1:8" ht="12.75">
      <c r="A85" s="46">
        <f ca="1">IFERROR(__xludf.DUMMYFUNCTION("""COMPUTED_VALUE"""),73)</f>
        <v>73</v>
      </c>
      <c r="B85" s="47" t="str">
        <f ca="1">IFERROR(__xludf.DUMMYFUNCTION("""COMPUTED_VALUE"""),"5735380")</f>
        <v>5735380</v>
      </c>
      <c r="C85" s="48" t="str">
        <f ca="1">IFERROR(__xludf.DUMMYFUNCTION("""COMPUTED_VALUE"""),"DECLOMESNIL")</f>
        <v>DECLOMESNIL</v>
      </c>
      <c r="D85" s="48" t="str">
        <f ca="1">IFERROR(__xludf.DUMMYFUNCTION("""COMPUTED_VALUE"""),"Alycia")</f>
        <v>Alycia</v>
      </c>
      <c r="E85" s="49" t="str">
        <f ca="1">IFERROR(__xludf.DUMMYFUNCTION("""COMPUTED_VALUE"""),"06570073")</f>
        <v>06570073</v>
      </c>
      <c r="F85" s="48" t="str">
        <f ca="1">IFERROR(__xludf.DUMMYFUNCTION("""COMPUTED_VALUE"""),"TERVILLE Tennis de Table")</f>
        <v>TERVILLE Tennis de Table</v>
      </c>
      <c r="G85" s="50" t="str">
        <f ca="1">IFERROR(__xludf.DUMMYFUNCTION("""COMPUTED_VALUE"""),"CD57")</f>
        <v>CD57</v>
      </c>
      <c r="H85" s="50" t="str">
        <f ca="1">IFERROR(__xludf.DUMMYFUNCTION("""COMPUTED_VALUE"""),"actif")</f>
        <v>actif</v>
      </c>
    </row>
    <row r="86" spans="1:8" ht="12.75">
      <c r="A86" s="46">
        <f ca="1">IFERROR(__xludf.DUMMYFUNCTION("""COMPUTED_VALUE"""),74)</f>
        <v>74</v>
      </c>
      <c r="B86" s="47" t="str">
        <f ca="1">IFERROR(__xludf.DUMMYFUNCTION("""COMPUTED_VALUE"""),"0814577")</f>
        <v>0814577</v>
      </c>
      <c r="C86" s="48" t="str">
        <f ca="1">IFERROR(__xludf.DUMMYFUNCTION("""COMPUTED_VALUE"""),"DECOLNET")</f>
        <v>DECOLNET</v>
      </c>
      <c r="D86" s="48" t="str">
        <f ca="1">IFERROR(__xludf.DUMMYFUNCTION("""COMPUTED_VALUE"""),"Joachim")</f>
        <v>Joachim</v>
      </c>
      <c r="E86" s="49" t="str">
        <f ca="1">IFERROR(__xludf.DUMMYFUNCTION("""COMPUTED_VALUE"""),"06080082")</f>
        <v>06080082</v>
      </c>
      <c r="F86" s="48" t="str">
        <f ca="1">IFERROR(__xludf.DUMMYFUNCTION("""COMPUTED_VALUE"""),"GLAIRE ASTT")</f>
        <v>GLAIRE ASTT</v>
      </c>
      <c r="G86" s="50" t="str">
        <f ca="1">IFERROR(__xludf.DUMMYFUNCTION("""COMPUTED_VALUE"""),"CD08")</f>
        <v>CD08</v>
      </c>
      <c r="H86" s="50" t="str">
        <f ca="1">IFERROR(__xludf.DUMMYFUNCTION("""COMPUTED_VALUE"""),"actif")</f>
        <v>actif</v>
      </c>
    </row>
    <row r="87" spans="1:8" ht="12.75">
      <c r="A87" s="46">
        <f ca="1">IFERROR(__xludf.DUMMYFUNCTION("""COMPUTED_VALUE"""),75)</f>
        <v>75</v>
      </c>
      <c r="B87" s="47" t="str">
        <f ca="1">IFERROR(__xludf.DUMMYFUNCTION("""COMPUTED_VALUE"""),"5511824")</f>
        <v>5511824</v>
      </c>
      <c r="C87" s="48" t="str">
        <f ca="1">IFERROR(__xludf.DUMMYFUNCTION("""COMPUTED_VALUE"""),"DEFAUSSE")</f>
        <v>DEFAUSSE</v>
      </c>
      <c r="D87" s="48" t="str">
        <f ca="1">IFERROR(__xludf.DUMMYFUNCTION("""COMPUTED_VALUE"""),"Arthur")</f>
        <v>Arthur</v>
      </c>
      <c r="E87" s="49" t="str">
        <f ca="1">IFERROR(__xludf.DUMMYFUNCTION("""COMPUTED_VALUE"""),"06550003")</f>
        <v>06550003</v>
      </c>
      <c r="F87" s="48" t="str">
        <f ca="1">IFERROR(__xludf.DUMMYFUNCTION("""COMPUTED_VALUE"""),"COMMERCY P.P.C.")</f>
        <v>COMMERCY P.P.C.</v>
      </c>
      <c r="G87" s="50" t="str">
        <f ca="1">IFERROR(__xludf.DUMMYFUNCTION("""COMPUTED_VALUE"""),"CD55")</f>
        <v>CD55</v>
      </c>
      <c r="H87" s="50" t="str">
        <f ca="1">IFERROR(__xludf.DUMMYFUNCTION("""COMPUTED_VALUE"""),"actif")</f>
        <v>actif</v>
      </c>
    </row>
    <row r="88" spans="1:8" ht="12.75">
      <c r="A88" s="46">
        <f ca="1">IFERROR(__xludf.DUMMYFUNCTION("""COMPUTED_VALUE"""),76)</f>
        <v>76</v>
      </c>
      <c r="B88" s="47" t="str">
        <f ca="1">IFERROR(__xludf.DUMMYFUNCTION("""COMPUTED_VALUE"""),"6720177")</f>
        <v>6720177</v>
      </c>
      <c r="C88" s="48" t="str">
        <f ca="1">IFERROR(__xludf.DUMMYFUNCTION("""COMPUTED_VALUE"""),"DEL VECCHIO")</f>
        <v>DEL VECCHIO</v>
      </c>
      <c r="D88" s="48" t="str">
        <f ca="1">IFERROR(__xludf.DUMMYFUNCTION("""COMPUTED_VALUE"""),"Alexandre")</f>
        <v>Alexandre</v>
      </c>
      <c r="E88" s="49" t="str">
        <f ca="1">IFERROR(__xludf.DUMMYFUNCTION("""COMPUTED_VALUE"""),"06670010")</f>
        <v>06670010</v>
      </c>
      <c r="F88" s="48" t="str">
        <f ca="1">IFERROR(__xludf.DUMMYFUNCTION("""COMPUTED_VALUE"""),"SCHILTIGHEIM SU TT")</f>
        <v>SCHILTIGHEIM SU TT</v>
      </c>
      <c r="G88" s="50" t="str">
        <f ca="1">IFERROR(__xludf.DUMMYFUNCTION("""COMPUTED_VALUE"""),"CD67")</f>
        <v>CD67</v>
      </c>
      <c r="H88" s="50" t="str">
        <f ca="1">IFERROR(__xludf.DUMMYFUNCTION("""COMPUTED_VALUE"""),"actif")</f>
        <v>actif</v>
      </c>
    </row>
    <row r="89" spans="1:8" ht="12.75">
      <c r="A89" s="46">
        <f ca="1">IFERROR(__xludf.DUMMYFUNCTION("""COMPUTED_VALUE"""),77)</f>
        <v>77</v>
      </c>
      <c r="B89" s="47" t="str">
        <f ca="1">IFERROR(__xludf.DUMMYFUNCTION("""COMPUTED_VALUE"""),"676185")</f>
        <v>676185</v>
      </c>
      <c r="C89" s="48" t="str">
        <f ca="1">IFERROR(__xludf.DUMMYFUNCTION("""COMPUTED_VALUE"""),"DELACOURT")</f>
        <v>DELACOURT</v>
      </c>
      <c r="D89" s="48" t="str">
        <f ca="1">IFERROR(__xludf.DUMMYFUNCTION("""COMPUTED_VALUE"""),"Rene")</f>
        <v>Rene</v>
      </c>
      <c r="E89" s="49" t="str">
        <f ca="1">IFERROR(__xludf.DUMMYFUNCTION("""COMPUTED_VALUE"""),"06670149")</f>
        <v>06670149</v>
      </c>
      <c r="F89" s="48" t="str">
        <f ca="1">IFERROR(__xludf.DUMMYFUNCTION("""COMPUTED_VALUE"""),"DORLISHEIM SD")</f>
        <v>DORLISHEIM SD</v>
      </c>
      <c r="G89" s="50" t="str">
        <f ca="1">IFERROR(__xludf.DUMMYFUNCTION("""COMPUTED_VALUE"""),"CD67")</f>
        <v>CD67</v>
      </c>
      <c r="H89" s="50" t="str">
        <f ca="1">IFERROR(__xludf.DUMMYFUNCTION("""COMPUTED_VALUE"""),"actif")</f>
        <v>actif</v>
      </c>
    </row>
    <row r="90" spans="1:8" ht="12.75">
      <c r="A90" s="46">
        <f ca="1">IFERROR(__xludf.DUMMYFUNCTION("""COMPUTED_VALUE"""),78)</f>
        <v>78</v>
      </c>
      <c r="B90" s="47" t="str">
        <f ca="1">IFERROR(__xludf.DUMMYFUNCTION("""COMPUTED_VALUE"""),"688526")</f>
        <v>688526</v>
      </c>
      <c r="C90" s="48" t="str">
        <f ca="1">IFERROR(__xludf.DUMMYFUNCTION("""COMPUTED_VALUE"""),"DELAVALLEE")</f>
        <v>DELAVALLEE</v>
      </c>
      <c r="D90" s="48" t="str">
        <f ca="1">IFERROR(__xludf.DUMMYFUNCTION("""COMPUTED_VALUE"""),"Ludovic")</f>
        <v>Ludovic</v>
      </c>
      <c r="E90" s="49" t="str">
        <f ca="1">IFERROR(__xludf.DUMMYFUNCTION("""COMPUTED_VALUE"""),"06680140")</f>
        <v>06680140</v>
      </c>
      <c r="F90" s="48" t="str">
        <f ca="1">IFERROR(__xludf.DUMMYFUNCTION("""COMPUTED_VALUE"""),"KEMBS TT")</f>
        <v>KEMBS TT</v>
      </c>
      <c r="G90" s="50" t="str">
        <f ca="1">IFERROR(__xludf.DUMMYFUNCTION("""COMPUTED_VALUE"""),"CD68")</f>
        <v>CD68</v>
      </c>
      <c r="H90" s="50" t="str">
        <f ca="1">IFERROR(__xludf.DUMMYFUNCTION("""COMPUTED_VALUE"""),"actif")</f>
        <v>actif</v>
      </c>
    </row>
    <row r="91" spans="1:8" ht="12.75">
      <c r="A91" s="46">
        <f ca="1">IFERROR(__xludf.DUMMYFUNCTION("""COMPUTED_VALUE"""),79)</f>
        <v>79</v>
      </c>
      <c r="B91" s="47" t="str">
        <f ca="1">IFERROR(__xludf.DUMMYFUNCTION("""COMPUTED_VALUE"""),"0811518")</f>
        <v>0811518</v>
      </c>
      <c r="C91" s="48" t="str">
        <f ca="1">IFERROR(__xludf.DUMMYFUNCTION("""COMPUTED_VALUE"""),"DELCROIX")</f>
        <v>DELCROIX</v>
      </c>
      <c r="D91" s="48" t="str">
        <f ca="1">IFERROR(__xludf.DUMMYFUNCTION("""COMPUTED_VALUE"""),"Mathieu")</f>
        <v>Mathieu</v>
      </c>
      <c r="E91" s="49" t="str">
        <f ca="1">IFERROR(__xludf.DUMMYFUNCTION("""COMPUTED_VALUE"""),"06080013")</f>
        <v>06080013</v>
      </c>
      <c r="F91" s="48" t="str">
        <f ca="1">IFERROR(__xludf.DUMMYFUNCTION("""COMPUTED_VALUE"""),"TAGNON PPC")</f>
        <v>TAGNON PPC</v>
      </c>
      <c r="G91" s="50" t="str">
        <f ca="1">IFERROR(__xludf.DUMMYFUNCTION("""COMPUTED_VALUE"""),"CD08")</f>
        <v>CD08</v>
      </c>
      <c r="H91" s="50" t="str">
        <f ca="1">IFERROR(__xludf.DUMMYFUNCTION("""COMPUTED_VALUE"""),"actif")</f>
        <v>actif</v>
      </c>
    </row>
    <row r="92" spans="1:8" ht="12.75">
      <c r="A92" s="46">
        <f ca="1">IFERROR(__xludf.DUMMYFUNCTION("""COMPUTED_VALUE"""),80)</f>
        <v>80</v>
      </c>
      <c r="B92" s="47" t="str">
        <f ca="1">IFERROR(__xludf.DUMMYFUNCTION("""COMPUTED_VALUE"""),"517009")</f>
        <v>517009</v>
      </c>
      <c r="C92" s="48" t="str">
        <f ca="1">IFERROR(__xludf.DUMMYFUNCTION("""COMPUTED_VALUE"""),"DELINEAU")</f>
        <v>DELINEAU</v>
      </c>
      <c r="D92" s="48" t="str">
        <f ca="1">IFERROR(__xludf.DUMMYFUNCTION("""COMPUTED_VALUE"""),"Loic")</f>
        <v>Loic</v>
      </c>
      <c r="E92" s="49" t="str">
        <f ca="1">IFERROR(__xludf.DUMMYFUNCTION("""COMPUTED_VALUE"""),"06510107")</f>
        <v>06510107</v>
      </c>
      <c r="F92" s="48" t="str">
        <f ca="1">IFERROR(__xludf.DUMMYFUNCTION("""COMPUTED_VALUE"""),"GUEUX TINQUEUX ASTT")</f>
        <v>GUEUX TINQUEUX ASTT</v>
      </c>
      <c r="G92" s="50" t="str">
        <f ca="1">IFERROR(__xludf.DUMMYFUNCTION("""COMPUTED_VALUE"""),"CD51")</f>
        <v>CD51</v>
      </c>
      <c r="H92" s="50" t="str">
        <f ca="1">IFERROR(__xludf.DUMMYFUNCTION("""COMPUTED_VALUE"""),"actif")</f>
        <v>actif</v>
      </c>
    </row>
    <row r="93" spans="1:8" ht="12.75">
      <c r="A93" s="46">
        <f ca="1">IFERROR(__xludf.DUMMYFUNCTION("""COMPUTED_VALUE"""),81)</f>
        <v>81</v>
      </c>
      <c r="B93" s="47" t="str">
        <f ca="1">IFERROR(__xludf.DUMMYFUNCTION("""COMPUTED_VALUE"""),"8820418")</f>
        <v>8820418</v>
      </c>
      <c r="C93" s="48" t="str">
        <f ca="1">IFERROR(__xludf.DUMMYFUNCTION("""COMPUTED_VALUE"""),"DELPECH")</f>
        <v>DELPECH</v>
      </c>
      <c r="D93" s="48" t="str">
        <f ca="1">IFERROR(__xludf.DUMMYFUNCTION("""COMPUTED_VALUE"""),"Basile")</f>
        <v>Basile</v>
      </c>
      <c r="E93" s="49" t="str">
        <f ca="1">IFERROR(__xludf.DUMMYFUNCTION("""COMPUTED_VALUE"""),"06880010")</f>
        <v>06880010</v>
      </c>
      <c r="F93" s="48" t="str">
        <f ca="1">IFERROR(__xludf.DUMMYFUNCTION("""COMPUTED_VALUE"""),"SAINT DIE SRDTT")</f>
        <v>SAINT DIE SRDTT</v>
      </c>
      <c r="G93" s="50" t="str">
        <f ca="1">IFERROR(__xludf.DUMMYFUNCTION("""COMPUTED_VALUE"""),"CD88")</f>
        <v>CD88</v>
      </c>
      <c r="H93" s="50" t="str">
        <f ca="1">IFERROR(__xludf.DUMMYFUNCTION("""COMPUTED_VALUE"""),"actif")</f>
        <v>actif</v>
      </c>
    </row>
    <row r="94" spans="1:8" ht="12.75">
      <c r="A94" s="46">
        <f ca="1">IFERROR(__xludf.DUMMYFUNCTION("""COMPUTED_VALUE"""),82)</f>
        <v>82</v>
      </c>
      <c r="B94" s="47" t="str">
        <f ca="1">IFERROR(__xludf.DUMMYFUNCTION("""COMPUTED_VALUE"""),"8819864")</f>
        <v>8819864</v>
      </c>
      <c r="C94" s="48" t="str">
        <f ca="1">IFERROR(__xludf.DUMMYFUNCTION("""COMPUTED_VALUE"""),"DELPECH")</f>
        <v>DELPECH</v>
      </c>
      <c r="D94" s="48" t="str">
        <f ca="1">IFERROR(__xludf.DUMMYFUNCTION("""COMPUTED_VALUE"""),"Barnabé")</f>
        <v>Barnabé</v>
      </c>
      <c r="E94" s="49" t="str">
        <f ca="1">IFERROR(__xludf.DUMMYFUNCTION("""COMPUTED_VALUE"""),"06880010")</f>
        <v>06880010</v>
      </c>
      <c r="F94" s="48" t="str">
        <f ca="1">IFERROR(__xludf.DUMMYFUNCTION("""COMPUTED_VALUE"""),"SAINT DIE SRDTT")</f>
        <v>SAINT DIE SRDTT</v>
      </c>
      <c r="G94" s="50" t="str">
        <f ca="1">IFERROR(__xludf.DUMMYFUNCTION("""COMPUTED_VALUE"""),"CD88")</f>
        <v>CD88</v>
      </c>
      <c r="H94" s="50" t="str">
        <f ca="1">IFERROR(__xludf.DUMMYFUNCTION("""COMPUTED_VALUE"""),"actif")</f>
        <v>actif</v>
      </c>
    </row>
    <row r="95" spans="1:8" ht="12.75">
      <c r="A95" s="46">
        <f ca="1">IFERROR(__xludf.DUMMYFUNCTION("""COMPUTED_VALUE"""),83)</f>
        <v>83</v>
      </c>
      <c r="B95" s="47" t="str">
        <f ca="1">IFERROR(__xludf.DUMMYFUNCTION("""COMPUTED_VALUE"""),"5740829")</f>
        <v>5740829</v>
      </c>
      <c r="C95" s="48" t="str">
        <f ca="1">IFERROR(__xludf.DUMMYFUNCTION("""COMPUTED_VALUE"""),"DENIS")</f>
        <v>DENIS</v>
      </c>
      <c r="D95" s="48" t="str">
        <f ca="1">IFERROR(__xludf.DUMMYFUNCTION("""COMPUTED_VALUE"""),"Paul-François")</f>
        <v>Paul-François</v>
      </c>
      <c r="E95" s="49" t="str">
        <f ca="1">IFERROR(__xludf.DUMMYFUNCTION("""COMPUTED_VALUE"""),"06570073")</f>
        <v>06570073</v>
      </c>
      <c r="F95" s="48" t="str">
        <f ca="1">IFERROR(__xludf.DUMMYFUNCTION("""COMPUTED_VALUE"""),"TERVILLE Tennis de Table")</f>
        <v>TERVILLE Tennis de Table</v>
      </c>
      <c r="G95" s="50" t="str">
        <f ca="1">IFERROR(__xludf.DUMMYFUNCTION("""COMPUTED_VALUE"""),"CD57")</f>
        <v>CD57</v>
      </c>
      <c r="H95" s="50" t="str">
        <f ca="1">IFERROR(__xludf.DUMMYFUNCTION("""COMPUTED_VALUE"""),"actif")</f>
        <v>actif</v>
      </c>
    </row>
    <row r="96" spans="1:8" ht="12.75">
      <c r="A96" s="46">
        <f ca="1">IFERROR(__xludf.DUMMYFUNCTION("""COMPUTED_VALUE"""),84)</f>
        <v>84</v>
      </c>
      <c r="B96" s="47" t="str">
        <f ca="1">IFERROR(__xludf.DUMMYFUNCTION("""COMPUTED_VALUE"""),"0812407")</f>
        <v>0812407</v>
      </c>
      <c r="C96" s="48" t="str">
        <f ca="1">IFERROR(__xludf.DUMMYFUNCTION("""COMPUTED_VALUE"""),"DENOUILLE")</f>
        <v>DENOUILLE</v>
      </c>
      <c r="D96" s="48" t="str">
        <f ca="1">IFERROR(__xludf.DUMMYFUNCTION("""COMPUTED_VALUE"""),"Loan")</f>
        <v>Loan</v>
      </c>
      <c r="E96" s="49" t="str">
        <f ca="1">IFERROR(__xludf.DUMMYFUNCTION("""COMPUTED_VALUE"""),"06080014")</f>
        <v>06080014</v>
      </c>
      <c r="F96" s="48" t="str">
        <f ca="1">IFERROR(__xludf.DUMMYFUNCTION("""COMPUTED_VALUE"""),"REVIN - HAYBOISE TT")</f>
        <v>REVIN - HAYBOISE TT</v>
      </c>
      <c r="G96" s="50" t="str">
        <f ca="1">IFERROR(__xludf.DUMMYFUNCTION("""COMPUTED_VALUE"""),"CD08")</f>
        <v>CD08</v>
      </c>
      <c r="H96" s="50" t="str">
        <f ca="1">IFERROR(__xludf.DUMMYFUNCTION("""COMPUTED_VALUE"""),"actif")</f>
        <v>actif</v>
      </c>
    </row>
    <row r="97" spans="1:8" ht="12.75">
      <c r="A97" s="46">
        <f ca="1">IFERROR(__xludf.DUMMYFUNCTION("""COMPUTED_VALUE"""),85)</f>
        <v>85</v>
      </c>
      <c r="B97" s="47" t="str">
        <f ca="1">IFERROR(__xludf.DUMMYFUNCTION("""COMPUTED_VALUE"""),"0811884")</f>
        <v>0811884</v>
      </c>
      <c r="C97" s="48" t="str">
        <f ca="1">IFERROR(__xludf.DUMMYFUNCTION("""COMPUTED_VALUE"""),"DENOUILLE")</f>
        <v>DENOUILLE</v>
      </c>
      <c r="D97" s="48" t="str">
        <f ca="1">IFERROR(__xludf.DUMMYFUNCTION("""COMPUTED_VALUE"""),"Benjamin")</f>
        <v>Benjamin</v>
      </c>
      <c r="E97" s="49" t="str">
        <f ca="1">IFERROR(__xludf.DUMMYFUNCTION("""COMPUTED_VALUE"""),"06080014")</f>
        <v>06080014</v>
      </c>
      <c r="F97" s="48" t="str">
        <f ca="1">IFERROR(__xludf.DUMMYFUNCTION("""COMPUTED_VALUE"""),"REVIN - HAYBOISE TT")</f>
        <v>REVIN - HAYBOISE TT</v>
      </c>
      <c r="G97" s="50" t="str">
        <f ca="1">IFERROR(__xludf.DUMMYFUNCTION("""COMPUTED_VALUE"""),"CD08")</f>
        <v>CD08</v>
      </c>
      <c r="H97" s="50" t="str">
        <f ca="1">IFERROR(__xludf.DUMMYFUNCTION("""COMPUTED_VALUE"""),"actif")</f>
        <v>actif</v>
      </c>
    </row>
    <row r="98" spans="1:8" ht="12.75">
      <c r="A98" s="46">
        <f ca="1">IFERROR(__xludf.DUMMYFUNCTION("""COMPUTED_VALUE"""),86)</f>
        <v>86</v>
      </c>
      <c r="B98" s="47" t="str">
        <f ca="1">IFERROR(__xludf.DUMMYFUNCTION("""COMPUTED_VALUE"""),"0812670")</f>
        <v>0812670</v>
      </c>
      <c r="C98" s="48" t="str">
        <f ca="1">IFERROR(__xludf.DUMMYFUNCTION("""COMPUTED_VALUE"""),"DENOUILLE")</f>
        <v>DENOUILLE</v>
      </c>
      <c r="D98" s="48" t="str">
        <f ca="1">IFERROR(__xludf.DUMMYFUNCTION("""COMPUTED_VALUE"""),"Sandra")</f>
        <v>Sandra</v>
      </c>
      <c r="E98" s="49" t="str">
        <f ca="1">IFERROR(__xludf.DUMMYFUNCTION("""COMPUTED_VALUE"""),"06080014")</f>
        <v>06080014</v>
      </c>
      <c r="F98" s="48" t="str">
        <f ca="1">IFERROR(__xludf.DUMMYFUNCTION("""COMPUTED_VALUE"""),"REVIN - HAYBOISE TT")</f>
        <v>REVIN - HAYBOISE TT</v>
      </c>
      <c r="G98" s="50" t="str">
        <f ca="1">IFERROR(__xludf.DUMMYFUNCTION("""COMPUTED_VALUE"""),"CD08")</f>
        <v>CD08</v>
      </c>
      <c r="H98" s="50" t="str">
        <f ca="1">IFERROR(__xludf.DUMMYFUNCTION("""COMPUTED_VALUE"""),"actif")</f>
        <v>actif</v>
      </c>
    </row>
    <row r="99" spans="1:8" ht="12.75">
      <c r="A99" s="46">
        <f ca="1">IFERROR(__xludf.DUMMYFUNCTION("""COMPUTED_VALUE"""),87)</f>
        <v>87</v>
      </c>
      <c r="B99" s="47" t="str">
        <f ca="1">IFERROR(__xludf.DUMMYFUNCTION("""COMPUTED_VALUE"""),"5430981")</f>
        <v>5430981</v>
      </c>
      <c r="C99" s="48" t="str">
        <f ca="1">IFERROR(__xludf.DUMMYFUNCTION("""COMPUTED_VALUE"""),"DESCHAMPS")</f>
        <v>DESCHAMPS</v>
      </c>
      <c r="D99" s="48" t="str">
        <f ca="1">IFERROR(__xludf.DUMMYFUNCTION("""COMPUTED_VALUE"""),"Michael")</f>
        <v>Michael</v>
      </c>
      <c r="E99" s="49" t="str">
        <f ca="1">IFERROR(__xludf.DUMMYFUNCTION("""COMPUTED_VALUE"""),"06550058")</f>
        <v>06550058</v>
      </c>
      <c r="F99" s="48" t="str">
        <f ca="1">IFERROR(__xludf.DUMMYFUNCTION("""COMPUTED_VALUE"""),"Les Loups de DAMVILLERS ASTT ")</f>
        <v xml:space="preserve">Les Loups de DAMVILLERS ASTT </v>
      </c>
      <c r="G99" s="50" t="str">
        <f ca="1">IFERROR(__xludf.DUMMYFUNCTION("""COMPUTED_VALUE"""),"CD55")</f>
        <v>CD55</v>
      </c>
      <c r="H99" s="50" t="str">
        <f ca="1">IFERROR(__xludf.DUMMYFUNCTION("""COMPUTED_VALUE"""),"actif")</f>
        <v>actif</v>
      </c>
    </row>
    <row r="100" spans="1:8" ht="12.75">
      <c r="A100" s="46">
        <f ca="1">IFERROR(__xludf.DUMMYFUNCTION("""COMPUTED_VALUE"""),88)</f>
        <v>88</v>
      </c>
      <c r="B100" s="47" t="str">
        <f ca="1">IFERROR(__xludf.DUMMYFUNCTION("""COMPUTED_VALUE"""),"6716231")</f>
        <v>6716231</v>
      </c>
      <c r="C100" s="48" t="str">
        <f ca="1">IFERROR(__xludf.DUMMYFUNCTION("""COMPUTED_VALUE"""),"DESGORCES")</f>
        <v>DESGORCES</v>
      </c>
      <c r="D100" s="48" t="str">
        <f ca="1">IFERROR(__xludf.DUMMYFUNCTION("""COMPUTED_VALUE"""),"Clement")</f>
        <v>Clement</v>
      </c>
      <c r="E100" s="49" t="str">
        <f ca="1">IFERROR(__xludf.DUMMYFUNCTION("""COMPUTED_VALUE"""),"06670160")</f>
        <v>06670160</v>
      </c>
      <c r="F100" s="48" t="str">
        <f ca="1">IFERROR(__xludf.DUMMYFUNCTION("""COMPUTED_VALUE"""),"T.T.Haguenau Wissembourg")</f>
        <v>T.T.Haguenau Wissembourg</v>
      </c>
      <c r="G100" s="50" t="str">
        <f ca="1">IFERROR(__xludf.DUMMYFUNCTION("""COMPUTED_VALUE"""),"CD67")</f>
        <v>CD67</v>
      </c>
      <c r="H100" s="50" t="str">
        <f ca="1">IFERROR(__xludf.DUMMYFUNCTION("""COMPUTED_VALUE"""),"actif")</f>
        <v>actif</v>
      </c>
    </row>
    <row r="101" spans="1:8" ht="12.75">
      <c r="A101" s="46">
        <f ca="1">IFERROR(__xludf.DUMMYFUNCTION("""COMPUTED_VALUE"""),89)</f>
        <v>89</v>
      </c>
      <c r="B101" s="47" t="str">
        <f ca="1">IFERROR(__xludf.DUMMYFUNCTION("""COMPUTED_VALUE"""),"5422070")</f>
        <v>5422070</v>
      </c>
      <c r="C101" s="48" t="str">
        <f ca="1">IFERROR(__xludf.DUMMYFUNCTION("""COMPUTED_VALUE"""),"DEVILLE")</f>
        <v>DEVILLE</v>
      </c>
      <c r="D101" s="48" t="str">
        <f ca="1">IFERROR(__xludf.DUMMYFUNCTION("""COMPUTED_VALUE"""),"Victor")</f>
        <v>Victor</v>
      </c>
      <c r="E101" s="49" t="str">
        <f ca="1">IFERROR(__xludf.DUMMYFUNCTION("""COMPUTED_VALUE"""),"06570190")</f>
        <v>06570190</v>
      </c>
      <c r="F101" s="48" t="str">
        <f ca="1">IFERROR(__xludf.DUMMYFUNCTION("""COMPUTED_VALUE"""),"METZ Tennis de Table")</f>
        <v>METZ Tennis de Table</v>
      </c>
      <c r="G101" s="50" t="str">
        <f ca="1">IFERROR(__xludf.DUMMYFUNCTION("""COMPUTED_VALUE"""),"CD57")</f>
        <v>CD57</v>
      </c>
      <c r="H101" s="50" t="str">
        <f ca="1">IFERROR(__xludf.DUMMYFUNCTION("""COMPUTED_VALUE"""),"actif")</f>
        <v>actif</v>
      </c>
    </row>
    <row r="102" spans="1:8" ht="12.75">
      <c r="A102" s="46">
        <f ca="1">IFERROR(__xludf.DUMMYFUNCTION("""COMPUTED_VALUE"""),90)</f>
        <v>90</v>
      </c>
      <c r="B102" s="47" t="str">
        <f ca="1">IFERROR(__xludf.DUMMYFUNCTION("""COMPUTED_VALUE"""),"683576")</f>
        <v>683576</v>
      </c>
      <c r="C102" s="48" t="str">
        <f ca="1">IFERROR(__xludf.DUMMYFUNCTION("""COMPUTED_VALUE"""),"DIETSCHY")</f>
        <v>DIETSCHY</v>
      </c>
      <c r="D102" s="48" t="str">
        <f ca="1">IFERROR(__xludf.DUMMYFUNCTION("""COMPUTED_VALUE"""),"Francois")</f>
        <v>Francois</v>
      </c>
      <c r="E102" s="49" t="str">
        <f ca="1">IFERROR(__xludf.DUMMYFUNCTION("""COMPUTED_VALUE"""),"06680091")</f>
        <v>06680091</v>
      </c>
      <c r="F102" s="48" t="str">
        <f ca="1">IFERROR(__xludf.DUMMYFUNCTION("""COMPUTED_VALUE"""),"ILLZACH TTSJB")</f>
        <v>ILLZACH TTSJB</v>
      </c>
      <c r="G102" s="50" t="str">
        <f ca="1">IFERROR(__xludf.DUMMYFUNCTION("""COMPUTED_VALUE"""),"CD68")</f>
        <v>CD68</v>
      </c>
      <c r="H102" s="50" t="str">
        <f ca="1">IFERROR(__xludf.DUMMYFUNCTION("""COMPUTED_VALUE"""),"actif")</f>
        <v>actif</v>
      </c>
    </row>
    <row r="103" spans="1:8" ht="12.75">
      <c r="A103" s="46">
        <f ca="1">IFERROR(__xludf.DUMMYFUNCTION("""COMPUTED_VALUE"""),91)</f>
        <v>91</v>
      </c>
      <c r="B103" s="47" t="str">
        <f ca="1">IFERROR(__xludf.DUMMYFUNCTION("""COMPUTED_VALUE"""),"556845")</f>
        <v>556845</v>
      </c>
      <c r="C103" s="48" t="str">
        <f ca="1">IFERROR(__xludf.DUMMYFUNCTION("""COMPUTED_VALUE"""),"DINANT")</f>
        <v>DINANT</v>
      </c>
      <c r="D103" s="48" t="str">
        <f ca="1">IFERROR(__xludf.DUMMYFUNCTION("""COMPUTED_VALUE"""),"Raphaëlle")</f>
        <v>Raphaëlle</v>
      </c>
      <c r="E103" s="49" t="str">
        <f ca="1">IFERROR(__xludf.DUMMYFUNCTION("""COMPUTED_VALUE"""),"06570107")</f>
        <v>06570107</v>
      </c>
      <c r="F103" s="48" t="str">
        <f ca="1">IFERROR(__xludf.DUMMYFUNCTION("""COMPUTED_VALUE"""),"MAIZIÈRES-LÈS-METZ T.T.")</f>
        <v>MAIZIÈRES-LÈS-METZ T.T.</v>
      </c>
      <c r="G103" s="50" t="str">
        <f ca="1">IFERROR(__xludf.DUMMYFUNCTION("""COMPUTED_VALUE"""),"CD57")</f>
        <v>CD57</v>
      </c>
      <c r="H103" s="50" t="str">
        <f ca="1">IFERROR(__xludf.DUMMYFUNCTION("""COMPUTED_VALUE"""),"actif")</f>
        <v>actif</v>
      </c>
    </row>
    <row r="104" spans="1:8" ht="12.75">
      <c r="A104" s="46">
        <f ca="1">IFERROR(__xludf.DUMMYFUNCTION("""COMPUTED_VALUE"""),92)</f>
        <v>92</v>
      </c>
      <c r="B104" s="47" t="str">
        <f ca="1">IFERROR(__xludf.DUMMYFUNCTION("""COMPUTED_VALUE"""),"5434128")</f>
        <v>5434128</v>
      </c>
      <c r="C104" s="48" t="str">
        <f ca="1">IFERROR(__xludf.DUMMYFUNCTION("""COMPUTED_VALUE"""),"DO")</f>
        <v>DO</v>
      </c>
      <c r="D104" s="48" t="str">
        <f ca="1">IFERROR(__xludf.DUMMYFUNCTION("""COMPUTED_VALUE"""),"Alex")</f>
        <v>Alex</v>
      </c>
      <c r="E104" s="49" t="str">
        <f ca="1">IFERROR(__xludf.DUMMYFUNCTION("""COMPUTED_VALUE"""),"06540040")</f>
        <v>06540040</v>
      </c>
      <c r="F104" s="48" t="str">
        <f ca="1">IFERROR(__xludf.DUMMYFUNCTION("""COMPUTED_VALUE"""),"VILLERS LES NANCY C.O.S.")</f>
        <v>VILLERS LES NANCY C.O.S.</v>
      </c>
      <c r="G104" s="50" t="str">
        <f ca="1">IFERROR(__xludf.DUMMYFUNCTION("""COMPUTED_VALUE"""),"CD54")</f>
        <v>CD54</v>
      </c>
      <c r="H104" s="50" t="str">
        <f ca="1">IFERROR(__xludf.DUMMYFUNCTION("""COMPUTED_VALUE"""),"actif")</f>
        <v>actif</v>
      </c>
    </row>
    <row r="105" spans="1:8" ht="12.75">
      <c r="A105" s="46">
        <f ca="1">IFERROR(__xludf.DUMMYFUNCTION("""COMPUTED_VALUE"""),93)</f>
        <v>93</v>
      </c>
      <c r="B105" s="47" t="str">
        <f ca="1">IFERROR(__xludf.DUMMYFUNCTION("""COMPUTED_VALUE"""),"6719000")</f>
        <v>6719000</v>
      </c>
      <c r="C105" s="48" t="str">
        <f ca="1">IFERROR(__xludf.DUMMYFUNCTION("""COMPUTED_VALUE"""),"DOCKWILLER")</f>
        <v>DOCKWILLER</v>
      </c>
      <c r="D105" s="48" t="str">
        <f ca="1">IFERROR(__xludf.DUMMYFUNCTION("""COMPUTED_VALUE"""),"Pierre-Hugo")</f>
        <v>Pierre-Hugo</v>
      </c>
      <c r="E105" s="49" t="str">
        <f ca="1">IFERROR(__xludf.DUMMYFUNCTION("""COMPUTED_VALUE"""),"06670045")</f>
        <v>06670045</v>
      </c>
      <c r="F105" s="48" t="str">
        <f ca="1">IFERROR(__xludf.DUMMYFUNCTION("""COMPUTED_VALUE"""),"STRASBOURG RC")</f>
        <v>STRASBOURG RC</v>
      </c>
      <c r="G105" s="50" t="str">
        <f ca="1">IFERROR(__xludf.DUMMYFUNCTION("""COMPUTED_VALUE"""),"CD67")</f>
        <v>CD67</v>
      </c>
      <c r="H105" s="50" t="str">
        <f ca="1">IFERROR(__xludf.DUMMYFUNCTION("""COMPUTED_VALUE"""),"actif")</f>
        <v>actif</v>
      </c>
    </row>
    <row r="106" spans="1:8" ht="12.75">
      <c r="A106" s="46">
        <f ca="1">IFERROR(__xludf.DUMMYFUNCTION("""COMPUTED_VALUE"""),94)</f>
        <v>94</v>
      </c>
      <c r="B106" s="47" t="str">
        <f ca="1">IFERROR(__xludf.DUMMYFUNCTION("""COMPUTED_VALUE"""),"0810515")</f>
        <v>0810515</v>
      </c>
      <c r="C106" s="48" t="str">
        <f ca="1">IFERROR(__xludf.DUMMYFUNCTION("""COMPUTED_VALUE"""),"DOMINE")</f>
        <v>DOMINE</v>
      </c>
      <c r="D106" s="48" t="str">
        <f ca="1">IFERROR(__xludf.DUMMYFUNCTION("""COMPUTED_VALUE"""),"Antonin")</f>
        <v>Antonin</v>
      </c>
      <c r="E106" s="49" t="str">
        <f ca="1">IFERROR(__xludf.DUMMYFUNCTION("""COMPUTED_VALUE"""),"06080043")</f>
        <v>06080043</v>
      </c>
      <c r="F106" s="48" t="str">
        <f ca="1">IFERROR(__xludf.DUMMYFUNCTION("""COMPUTED_VALUE"""),"ETREPIGNY TT")</f>
        <v>ETREPIGNY TT</v>
      </c>
      <c r="G106" s="51" t="str">
        <f ca="1">IFERROR(__xludf.DUMMYFUNCTION("""COMPUTED_VALUE"""),"CD08")</f>
        <v>CD08</v>
      </c>
      <c r="H106" s="50" t="str">
        <f ca="1">IFERROR(__xludf.DUMMYFUNCTION("""COMPUTED_VALUE"""),"actif")</f>
        <v>actif</v>
      </c>
    </row>
    <row r="107" spans="1:8" ht="12.75">
      <c r="A107" s="46">
        <f ca="1">IFERROR(__xludf.DUMMYFUNCTION("""COMPUTED_VALUE"""),95)</f>
        <v>95</v>
      </c>
      <c r="B107" s="47" t="str">
        <f ca="1">IFERROR(__xludf.DUMMYFUNCTION("""COMPUTED_VALUE"""),"68295")</f>
        <v>68295</v>
      </c>
      <c r="C107" s="48" t="str">
        <f ca="1">IFERROR(__xludf.DUMMYFUNCTION("""COMPUTED_VALUE"""),"DREYER")</f>
        <v>DREYER</v>
      </c>
      <c r="D107" s="48" t="str">
        <f ca="1">IFERROR(__xludf.DUMMYFUNCTION("""COMPUTED_VALUE"""),"Christine")</f>
        <v>Christine</v>
      </c>
      <c r="E107" s="49" t="str">
        <f ca="1">IFERROR(__xludf.DUMMYFUNCTION("""COMPUTED_VALUE"""),"06680105")</f>
        <v>06680105</v>
      </c>
      <c r="F107" s="48" t="str">
        <f ca="1">IFERROR(__xludf.DUMMYFUNCTION("""COMPUTED_VALUE"""),"MULHOUSE TENNIS DE TABLE")</f>
        <v>MULHOUSE TENNIS DE TABLE</v>
      </c>
      <c r="G107" s="50" t="str">
        <f ca="1">IFERROR(__xludf.DUMMYFUNCTION("""COMPUTED_VALUE"""),"CD68")</f>
        <v>CD68</v>
      </c>
      <c r="H107" s="50" t="str">
        <f ca="1">IFERROR(__xludf.DUMMYFUNCTION("""COMPUTED_VALUE"""),"actif")</f>
        <v>actif</v>
      </c>
    </row>
    <row r="108" spans="1:8" ht="12.75">
      <c r="A108" s="46">
        <f ca="1">IFERROR(__xludf.DUMMYFUNCTION("""COMPUTED_VALUE"""),96)</f>
        <v>96</v>
      </c>
      <c r="B108" s="47" t="str">
        <f ca="1">IFERROR(__xludf.DUMMYFUNCTION("""COMPUTED_VALUE"""),"5510341")</f>
        <v>5510341</v>
      </c>
      <c r="C108" s="48" t="str">
        <f ca="1">IFERROR(__xludf.DUMMYFUNCTION("""COMPUTED_VALUE"""),"DROUIN")</f>
        <v>DROUIN</v>
      </c>
      <c r="D108" s="48" t="str">
        <f ca="1">IFERROR(__xludf.DUMMYFUNCTION("""COMPUTED_VALUE"""),"Amandine")</f>
        <v>Amandine</v>
      </c>
      <c r="E108" s="49" t="str">
        <f ca="1">IFERROR(__xludf.DUMMYFUNCTION("""COMPUTED_VALUE"""),"06550003")</f>
        <v>06550003</v>
      </c>
      <c r="F108" s="48" t="str">
        <f ca="1">IFERROR(__xludf.DUMMYFUNCTION("""COMPUTED_VALUE"""),"COMMERCY P.P.C.")</f>
        <v>COMMERCY P.P.C.</v>
      </c>
      <c r="G108" s="50" t="str">
        <f ca="1">IFERROR(__xludf.DUMMYFUNCTION("""COMPUTED_VALUE"""),"CD55")</f>
        <v>CD55</v>
      </c>
      <c r="H108" s="50" t="str">
        <f ca="1">IFERROR(__xludf.DUMMYFUNCTION("""COMPUTED_VALUE"""),"actif")</f>
        <v>actif</v>
      </c>
    </row>
    <row r="109" spans="1:8" ht="12.75">
      <c r="A109" s="46">
        <f ca="1">IFERROR(__xludf.DUMMYFUNCTION("""COMPUTED_VALUE"""),97)</f>
        <v>97</v>
      </c>
      <c r="B109" s="47" t="str">
        <f ca="1">IFERROR(__xludf.DUMMYFUNCTION("""COMPUTED_VALUE"""),"5510254")</f>
        <v>5510254</v>
      </c>
      <c r="C109" s="48" t="str">
        <f ca="1">IFERROR(__xludf.DUMMYFUNCTION("""COMPUTED_VALUE"""),"DROUIN")</f>
        <v>DROUIN</v>
      </c>
      <c r="D109" s="48" t="str">
        <f ca="1">IFERROR(__xludf.DUMMYFUNCTION("""COMPUTED_VALUE"""),"Camille")</f>
        <v>Camille</v>
      </c>
      <c r="E109" s="49" t="str">
        <f ca="1">IFERROR(__xludf.DUMMYFUNCTION("""COMPUTED_VALUE"""),"06550003")</f>
        <v>06550003</v>
      </c>
      <c r="F109" s="48" t="str">
        <f ca="1">IFERROR(__xludf.DUMMYFUNCTION("""COMPUTED_VALUE"""),"COMMERCY P.P.C.")</f>
        <v>COMMERCY P.P.C.</v>
      </c>
      <c r="G109" s="50" t="str">
        <f ca="1">IFERROR(__xludf.DUMMYFUNCTION("""COMPUTED_VALUE"""),"CD55")</f>
        <v>CD55</v>
      </c>
      <c r="H109" s="50" t="str">
        <f ca="1">IFERROR(__xludf.DUMMYFUNCTION("""COMPUTED_VALUE"""),"actif")</f>
        <v>actif</v>
      </c>
    </row>
    <row r="110" spans="1:8" ht="12.75">
      <c r="A110" s="46">
        <f ca="1">IFERROR(__xludf.DUMMYFUNCTION("""COMPUTED_VALUE"""),98)</f>
        <v>98</v>
      </c>
      <c r="B110" s="47" t="str">
        <f ca="1">IFERROR(__xludf.DUMMYFUNCTION("""COMPUTED_VALUE"""),"5113025")</f>
        <v>5113025</v>
      </c>
      <c r="C110" s="48" t="str">
        <f ca="1">IFERROR(__xludf.DUMMYFUNCTION("""COMPUTED_VALUE"""),"DUBOIS")</f>
        <v>DUBOIS</v>
      </c>
      <c r="D110" s="48" t="str">
        <f ca="1">IFERROR(__xludf.DUMMYFUNCTION("""COMPUTED_VALUE"""),"Thomas")</f>
        <v>Thomas</v>
      </c>
      <c r="E110" s="49" t="str">
        <f ca="1">IFERROR(__xludf.DUMMYFUNCTION("""COMPUTED_VALUE"""),"06510105")</f>
        <v>06510105</v>
      </c>
      <c r="F110" s="48" t="str">
        <f ca="1">IFERROR(__xludf.DUMMYFUNCTION("""COMPUTED_VALUE"""),"GIVRY-EN-ARGONNE ATPP")</f>
        <v>GIVRY-EN-ARGONNE ATPP</v>
      </c>
      <c r="G110" s="50" t="str">
        <f ca="1">IFERROR(__xludf.DUMMYFUNCTION("""COMPUTED_VALUE"""),"CD51")</f>
        <v>CD51</v>
      </c>
      <c r="H110" s="50" t="str">
        <f ca="1">IFERROR(__xludf.DUMMYFUNCTION("""COMPUTED_VALUE"""),"actif")</f>
        <v>actif</v>
      </c>
    </row>
    <row r="111" spans="1:8" ht="12.75">
      <c r="A111" s="46">
        <f ca="1">IFERROR(__xludf.DUMMYFUNCTION("""COMPUTED_VALUE"""),99)</f>
        <v>99</v>
      </c>
      <c r="B111" s="47" t="str">
        <f ca="1">IFERROR(__xludf.DUMMYFUNCTION("""COMPUTED_VALUE"""),"5737914")</f>
        <v>5737914</v>
      </c>
      <c r="C111" s="48" t="str">
        <f ca="1">IFERROR(__xludf.DUMMYFUNCTION("""COMPUTED_VALUE"""),"DUCHATEL")</f>
        <v>DUCHATEL</v>
      </c>
      <c r="D111" s="48" t="str">
        <f ca="1">IFERROR(__xludf.DUMMYFUNCTION("""COMPUTED_VALUE"""),"Fabrice")</f>
        <v>Fabrice</v>
      </c>
      <c r="E111" s="49" t="str">
        <f ca="1">IFERROR(__xludf.DUMMYFUNCTION("""COMPUTED_VALUE"""),"06570019")</f>
        <v>06570019</v>
      </c>
      <c r="F111" s="48" t="str">
        <f ca="1">IFERROR(__xludf.DUMMYFUNCTION("""COMPUTED_VALUE"""),"SAINT AVOLD C.T.T.")</f>
        <v>SAINT AVOLD C.T.T.</v>
      </c>
      <c r="G111" s="50" t="str">
        <f ca="1">IFERROR(__xludf.DUMMYFUNCTION("""COMPUTED_VALUE"""),"CD57")</f>
        <v>CD57</v>
      </c>
      <c r="H111" s="50" t="str">
        <f ca="1">IFERROR(__xludf.DUMMYFUNCTION("""COMPUTED_VALUE"""),"actif")</f>
        <v>actif</v>
      </c>
    </row>
    <row r="112" spans="1:8" ht="12.75">
      <c r="A112" s="46">
        <f ca="1">IFERROR(__xludf.DUMMYFUNCTION("""COMPUTED_VALUE"""),100)</f>
        <v>100</v>
      </c>
      <c r="B112" s="47" t="str">
        <f ca="1">IFERROR(__xludf.DUMMYFUNCTION("""COMPUTED_VALUE"""),"6718189")</f>
        <v>6718189</v>
      </c>
      <c r="C112" s="48" t="str">
        <f ca="1">IFERROR(__xludf.DUMMYFUNCTION("""COMPUTED_VALUE"""),"DUCHENE")</f>
        <v>DUCHENE</v>
      </c>
      <c r="D112" s="48" t="str">
        <f ca="1">IFERROR(__xludf.DUMMYFUNCTION("""COMPUTED_VALUE"""),"Francois")</f>
        <v>Francois</v>
      </c>
      <c r="E112" s="49" t="str">
        <f ca="1">IFERROR(__xludf.DUMMYFUNCTION("""COMPUTED_VALUE"""),"06670270")</f>
        <v>06670270</v>
      </c>
      <c r="F112" s="48" t="str">
        <f ca="1">IFERROR(__xludf.DUMMYFUNCTION("""COMPUTED_VALUE"""),"STRASBOURG EUROMETROPOLE TT")</f>
        <v>STRASBOURG EUROMETROPOLE TT</v>
      </c>
      <c r="G112" s="50" t="str">
        <f ca="1">IFERROR(__xludf.DUMMYFUNCTION("""COMPUTED_VALUE"""),"CD67")</f>
        <v>CD67</v>
      </c>
      <c r="H112" s="50" t="str">
        <f ca="1">IFERROR(__xludf.DUMMYFUNCTION("""COMPUTED_VALUE"""),"actif")</f>
        <v>actif</v>
      </c>
    </row>
    <row r="113" spans="1:8" ht="12.75">
      <c r="A113" s="46">
        <f ca="1">IFERROR(__xludf.DUMMYFUNCTION("""COMPUTED_VALUE"""),101)</f>
        <v>101</v>
      </c>
      <c r="B113" s="47" t="str">
        <f ca="1">IFERROR(__xludf.DUMMYFUNCTION("""COMPUTED_VALUE"""),"5433480")</f>
        <v>5433480</v>
      </c>
      <c r="C113" s="48" t="str">
        <f ca="1">IFERROR(__xludf.DUMMYFUNCTION("""COMPUTED_VALUE"""),"DUFLAUT")</f>
        <v>DUFLAUT</v>
      </c>
      <c r="D113" s="48" t="str">
        <f ca="1">IFERROR(__xludf.DUMMYFUNCTION("""COMPUTED_VALUE"""),"Gaethan")</f>
        <v>Gaethan</v>
      </c>
      <c r="E113" s="49" t="str">
        <f ca="1">IFERROR(__xludf.DUMMYFUNCTION("""COMPUTED_VALUE"""),"06540040")</f>
        <v>06540040</v>
      </c>
      <c r="F113" s="48" t="str">
        <f ca="1">IFERROR(__xludf.DUMMYFUNCTION("""COMPUTED_VALUE"""),"VILLERS LES NANCY C.O.S.")</f>
        <v>VILLERS LES NANCY C.O.S.</v>
      </c>
      <c r="G113" s="50" t="str">
        <f ca="1">IFERROR(__xludf.DUMMYFUNCTION("""COMPUTED_VALUE"""),"CD54")</f>
        <v>CD54</v>
      </c>
      <c r="H113" s="50" t="str">
        <f ca="1">IFERROR(__xludf.DUMMYFUNCTION("""COMPUTED_VALUE"""),"actif")</f>
        <v>actif</v>
      </c>
    </row>
    <row r="114" spans="1:8" ht="12.75">
      <c r="A114" s="46">
        <f ca="1">IFERROR(__xludf.DUMMYFUNCTION("""COMPUTED_VALUE"""),102)</f>
        <v>102</v>
      </c>
      <c r="B114" s="47" t="str">
        <f ca="1">IFERROR(__xludf.DUMMYFUNCTION("""COMPUTED_VALUE"""),"088359")</f>
        <v>088359</v>
      </c>
      <c r="C114" s="48" t="str">
        <f ca="1">IFERROR(__xludf.DUMMYFUNCTION("""COMPUTED_VALUE"""),"DUPONT")</f>
        <v>DUPONT</v>
      </c>
      <c r="D114" s="48" t="str">
        <f ca="1">IFERROR(__xludf.DUMMYFUNCTION("""COMPUTED_VALUE"""),"Jordan")</f>
        <v>Jordan</v>
      </c>
      <c r="E114" s="49" t="str">
        <f ca="1">IFERROR(__xludf.DUMMYFUNCTION("""COMPUTED_VALUE"""),"06080087")</f>
        <v>06080087</v>
      </c>
      <c r="F114" s="48" t="str">
        <f ca="1">IFERROR(__xludf.DUMMYFUNCTION("""COMPUTED_VALUE"""),"CARIGNAN YVOISIEN CTT")</f>
        <v>CARIGNAN YVOISIEN CTT</v>
      </c>
      <c r="G114" s="50" t="str">
        <f ca="1">IFERROR(__xludf.DUMMYFUNCTION("""COMPUTED_VALUE"""),"CD08")</f>
        <v>CD08</v>
      </c>
      <c r="H114" s="50" t="str">
        <f ca="1">IFERROR(__xludf.DUMMYFUNCTION("""COMPUTED_VALUE"""),"actif")</f>
        <v>actif</v>
      </c>
    </row>
    <row r="115" spans="1:8" ht="12.75">
      <c r="A115" s="46">
        <f ca="1">IFERROR(__xludf.DUMMYFUNCTION("""COMPUTED_VALUE"""),103)</f>
        <v>103</v>
      </c>
      <c r="B115" s="47" t="str">
        <f ca="1">IFERROR(__xludf.DUMMYFUNCTION("""COMPUTED_VALUE"""),"8810735")</f>
        <v>8810735</v>
      </c>
      <c r="C115" s="48" t="str">
        <f ca="1">IFERROR(__xludf.DUMMYFUNCTION("""COMPUTED_VALUE"""),"DURAND")</f>
        <v>DURAND</v>
      </c>
      <c r="D115" s="48" t="str">
        <f ca="1">IFERROR(__xludf.DUMMYFUNCTION("""COMPUTED_VALUE"""),"Jean-Marie")</f>
        <v>Jean-Marie</v>
      </c>
      <c r="E115" s="49" t="str">
        <f ca="1">IFERROR(__xludf.DUMMYFUNCTION("""COMPUTED_VALUE"""),"06880002")</f>
        <v>06880002</v>
      </c>
      <c r="F115" s="48" t="str">
        <f ca="1">IFERROR(__xludf.DUMMYFUNCTION("""COMPUTED_VALUE"""),"ANOULD Cercle Pongiste")</f>
        <v>ANOULD Cercle Pongiste</v>
      </c>
      <c r="G115" s="50" t="str">
        <f ca="1">IFERROR(__xludf.DUMMYFUNCTION("""COMPUTED_VALUE"""),"CD88")</f>
        <v>CD88</v>
      </c>
      <c r="H115" s="50" t="str">
        <f ca="1">IFERROR(__xludf.DUMMYFUNCTION("""COMPUTED_VALUE"""),"actif")</f>
        <v>actif</v>
      </c>
    </row>
    <row r="116" spans="1:8" ht="12.75">
      <c r="A116" s="46">
        <f ca="1">IFERROR(__xludf.DUMMYFUNCTION("""COMPUTED_VALUE"""),104)</f>
        <v>104</v>
      </c>
      <c r="B116" s="47" t="str">
        <f ca="1">IFERROR(__xludf.DUMMYFUNCTION("""COMPUTED_VALUE"""),"105519")</f>
        <v>105519</v>
      </c>
      <c r="C116" s="48" t="str">
        <f ca="1">IFERROR(__xludf.DUMMYFUNCTION("""COMPUTED_VALUE"""),"DURGET")</f>
        <v>DURGET</v>
      </c>
      <c r="D116" s="48" t="str">
        <f ca="1">IFERROR(__xludf.DUMMYFUNCTION("""COMPUTED_VALUE"""),"Benjamin")</f>
        <v>Benjamin</v>
      </c>
      <c r="E116" s="49" t="str">
        <f ca="1">IFERROR(__xludf.DUMMYFUNCTION("""COMPUTED_VALUE"""),"06540032")</f>
        <v>06540032</v>
      </c>
      <c r="F116" s="48" t="str">
        <f ca="1">IFERROR(__xludf.DUMMYFUNCTION("""COMPUTED_VALUE"""),"NEUVES MAISONS TT")</f>
        <v>NEUVES MAISONS TT</v>
      </c>
      <c r="G116" s="50" t="str">
        <f ca="1">IFERROR(__xludf.DUMMYFUNCTION("""COMPUTED_VALUE"""),"CD54")</f>
        <v>CD54</v>
      </c>
      <c r="H116" s="50" t="str">
        <f ca="1">IFERROR(__xludf.DUMMYFUNCTION("""COMPUTED_VALUE"""),"actif")</f>
        <v>actif</v>
      </c>
    </row>
    <row r="117" spans="1:8" ht="12.75">
      <c r="A117" s="46">
        <f ca="1">IFERROR(__xludf.DUMMYFUNCTION("""COMPUTED_VALUE"""),105)</f>
        <v>105</v>
      </c>
      <c r="B117" s="47" t="str">
        <f ca="1">IFERROR(__xludf.DUMMYFUNCTION("""COMPUTED_VALUE"""),"5436104")</f>
        <v>5436104</v>
      </c>
      <c r="C117" s="48" t="str">
        <f ca="1">IFERROR(__xludf.DUMMYFUNCTION("""COMPUTED_VALUE"""),"DURST")</f>
        <v>DURST</v>
      </c>
      <c r="D117" s="48" t="str">
        <f ca="1">IFERROR(__xludf.DUMMYFUNCTION("""COMPUTED_VALUE"""),"Antoine")</f>
        <v>Antoine</v>
      </c>
      <c r="E117" s="49" t="str">
        <f ca="1">IFERROR(__xludf.DUMMYFUNCTION("""COMPUTED_VALUE"""),"06540040")</f>
        <v>06540040</v>
      </c>
      <c r="F117" s="48" t="str">
        <f ca="1">IFERROR(__xludf.DUMMYFUNCTION("""COMPUTED_VALUE"""),"VILLERS LES NANCY C.O.S.")</f>
        <v>VILLERS LES NANCY C.O.S.</v>
      </c>
      <c r="G117" s="50" t="str">
        <f ca="1">IFERROR(__xludf.DUMMYFUNCTION("""COMPUTED_VALUE"""),"CD54")</f>
        <v>CD54</v>
      </c>
      <c r="H117" s="50" t="str">
        <f ca="1">IFERROR(__xludf.DUMMYFUNCTION("""COMPUTED_VALUE"""),"actif")</f>
        <v>actif</v>
      </c>
    </row>
    <row r="118" spans="1:8" ht="12.75">
      <c r="A118" s="46">
        <f ca="1">IFERROR(__xludf.DUMMYFUNCTION("""COMPUTED_VALUE"""),106)</f>
        <v>106</v>
      </c>
      <c r="B118" s="47" t="str">
        <f ca="1">IFERROR(__xludf.DUMMYFUNCTION("""COMPUTED_VALUE"""),"8821622")</f>
        <v>8821622</v>
      </c>
      <c r="C118" s="48" t="str">
        <f ca="1">IFERROR(__xludf.DUMMYFUNCTION("""COMPUTED_VALUE"""),"DURUPT")</f>
        <v>DURUPT</v>
      </c>
      <c r="D118" s="48" t="str">
        <f ca="1">IFERROR(__xludf.DUMMYFUNCTION("""COMPUTED_VALUE"""),"Enzo")</f>
        <v>Enzo</v>
      </c>
      <c r="E118" s="49" t="str">
        <f ca="1">IFERROR(__xludf.DUMMYFUNCTION("""COMPUTED_VALUE"""),"06880145")</f>
        <v>06880145</v>
      </c>
      <c r="F118" s="48" t="str">
        <f ca="1">IFERROR(__xludf.DUMMYFUNCTION("""COMPUTED_VALUE"""),"THAON CHENIMENIL E.S.T.T.")</f>
        <v>THAON CHENIMENIL E.S.T.T.</v>
      </c>
      <c r="G118" s="50" t="str">
        <f ca="1">IFERROR(__xludf.DUMMYFUNCTION("""COMPUTED_VALUE"""),"CD88")</f>
        <v>CD88</v>
      </c>
      <c r="H118" s="50" t="str">
        <f ca="1">IFERROR(__xludf.DUMMYFUNCTION("""COMPUTED_VALUE"""),"actif")</f>
        <v>actif</v>
      </c>
    </row>
    <row r="119" spans="1:8" ht="12.75">
      <c r="A119" s="46">
        <f ca="1">IFERROR(__xludf.DUMMYFUNCTION("""COMPUTED_VALUE"""),107)</f>
        <v>107</v>
      </c>
      <c r="B119" s="47" t="str">
        <f ca="1">IFERROR(__xludf.DUMMYFUNCTION("""COMPUTED_VALUE"""),"5417389")</f>
        <v>5417389</v>
      </c>
      <c r="C119" s="48" t="str">
        <f ca="1">IFERROR(__xludf.DUMMYFUNCTION("""COMPUTED_VALUE"""),"ECUYER")</f>
        <v>ECUYER</v>
      </c>
      <c r="D119" s="48" t="str">
        <f ca="1">IFERROR(__xludf.DUMMYFUNCTION("""COMPUTED_VALUE"""),"Adrien")</f>
        <v>Adrien</v>
      </c>
      <c r="E119" s="49" t="str">
        <f ca="1">IFERROR(__xludf.DUMMYFUNCTION("""COMPUTED_VALUE"""),"06540032")</f>
        <v>06540032</v>
      </c>
      <c r="F119" s="48" t="str">
        <f ca="1">IFERROR(__xludf.DUMMYFUNCTION("""COMPUTED_VALUE"""),"NEUVES MAISONS TT")</f>
        <v>NEUVES MAISONS TT</v>
      </c>
      <c r="G119" s="50" t="str">
        <f ca="1">IFERROR(__xludf.DUMMYFUNCTION("""COMPUTED_VALUE"""),"CD54")</f>
        <v>CD54</v>
      </c>
      <c r="H119" s="50" t="str">
        <f ca="1">IFERROR(__xludf.DUMMYFUNCTION("""COMPUTED_VALUE"""),"actif")</f>
        <v>actif</v>
      </c>
    </row>
    <row r="120" spans="1:8" ht="12.75">
      <c r="A120" s="46">
        <f ca="1">IFERROR(__xludf.DUMMYFUNCTION("""COMPUTED_VALUE"""),108)</f>
        <v>108</v>
      </c>
      <c r="B120" s="47" t="str">
        <f ca="1">IFERROR(__xludf.DUMMYFUNCTION("""COMPUTED_VALUE"""),"5422189")</f>
        <v>5422189</v>
      </c>
      <c r="C120" s="48" t="str">
        <f ca="1">IFERROR(__xludf.DUMMYFUNCTION("""COMPUTED_VALUE"""),"ECUYER")</f>
        <v>ECUYER</v>
      </c>
      <c r="D120" s="48" t="str">
        <f ca="1">IFERROR(__xludf.DUMMYFUNCTION("""COMPUTED_VALUE"""),"Benjamin")</f>
        <v>Benjamin</v>
      </c>
      <c r="E120" s="49" t="str">
        <f ca="1">IFERROR(__xludf.DUMMYFUNCTION("""COMPUTED_VALUE"""),"06540032")</f>
        <v>06540032</v>
      </c>
      <c r="F120" s="48" t="str">
        <f ca="1">IFERROR(__xludf.DUMMYFUNCTION("""COMPUTED_VALUE"""),"NEUVES MAISONS TT")</f>
        <v>NEUVES MAISONS TT</v>
      </c>
      <c r="G120" s="50" t="str">
        <f ca="1">IFERROR(__xludf.DUMMYFUNCTION("""COMPUTED_VALUE"""),"CD54")</f>
        <v>CD54</v>
      </c>
      <c r="H120" s="50" t="str">
        <f ca="1">IFERROR(__xludf.DUMMYFUNCTION("""COMPUTED_VALUE"""),"actif")</f>
        <v>actif</v>
      </c>
    </row>
    <row r="121" spans="1:8" ht="12.75">
      <c r="A121" s="46">
        <f ca="1">IFERROR(__xludf.DUMMYFUNCTION("""COMPUTED_VALUE"""),109)</f>
        <v>109</v>
      </c>
      <c r="B121" s="47" t="str">
        <f ca="1">IFERROR(__xludf.DUMMYFUNCTION("""COMPUTED_VALUE"""),"5419016")</f>
        <v>5419016</v>
      </c>
      <c r="C121" s="48" t="str">
        <f ca="1">IFERROR(__xludf.DUMMYFUNCTION("""COMPUTED_VALUE"""),"EHRHOLD")</f>
        <v>EHRHOLD</v>
      </c>
      <c r="D121" s="48" t="str">
        <f ca="1">IFERROR(__xludf.DUMMYFUNCTION("""COMPUTED_VALUE"""),"Lucas")</f>
        <v>Lucas</v>
      </c>
      <c r="E121" s="49" t="str">
        <f ca="1">IFERROR(__xludf.DUMMYFUNCTION("""COMPUTED_VALUE"""),"06540021")</f>
        <v>06540021</v>
      </c>
      <c r="F121" s="48" t="str">
        <f ca="1">IFERROR(__xludf.DUMMYFUNCTION("""COMPUTED_VALUE"""),"LUNEVILLE A.L.T.T.")</f>
        <v>LUNEVILLE A.L.T.T.</v>
      </c>
      <c r="G121" s="50" t="str">
        <f ca="1">IFERROR(__xludf.DUMMYFUNCTION("""COMPUTED_VALUE"""),"CD54")</f>
        <v>CD54</v>
      </c>
      <c r="H121" s="50" t="str">
        <f ca="1">IFERROR(__xludf.DUMMYFUNCTION("""COMPUTED_VALUE"""),"actif")</f>
        <v>actif</v>
      </c>
    </row>
    <row r="122" spans="1:8" ht="12.75">
      <c r="A122" s="46">
        <f ca="1">IFERROR(__xludf.DUMMYFUNCTION("""COMPUTED_VALUE"""),110)</f>
        <v>110</v>
      </c>
      <c r="B122" s="47" t="str">
        <f ca="1">IFERROR(__xludf.DUMMYFUNCTION("""COMPUTED_VALUE"""),"106290")</f>
        <v>106290</v>
      </c>
      <c r="C122" s="48" t="str">
        <f ca="1">IFERROR(__xludf.DUMMYFUNCTION("""COMPUTED_VALUE"""),"ELIE")</f>
        <v>ELIE</v>
      </c>
      <c r="D122" s="48" t="str">
        <f ca="1">IFERROR(__xludf.DUMMYFUNCTION("""COMPUTED_VALUE"""),"Adrien")</f>
        <v>Adrien</v>
      </c>
      <c r="E122" s="49" t="str">
        <f ca="1">IFERROR(__xludf.DUMMYFUNCTION("""COMPUTED_VALUE"""),"06100007")</f>
        <v>06100007</v>
      </c>
      <c r="F122" s="48" t="str">
        <f ca="1">IFERROR(__xludf.DUMMYFUNCTION("""COMPUTED_VALUE"""),"ST PARRES AUX TERTRES AST")</f>
        <v>ST PARRES AUX TERTRES AST</v>
      </c>
      <c r="G122" s="50" t="str">
        <f ca="1">IFERROR(__xludf.DUMMYFUNCTION("""COMPUTED_VALUE"""),"CD10")</f>
        <v>CD10</v>
      </c>
      <c r="H122" s="50" t="str">
        <f ca="1">IFERROR(__xludf.DUMMYFUNCTION("""COMPUTED_VALUE"""),"actif")</f>
        <v>actif</v>
      </c>
    </row>
    <row r="123" spans="1:8" ht="12.75">
      <c r="A123" s="46">
        <f ca="1">IFERROR(__xludf.DUMMYFUNCTION("""COMPUTED_VALUE"""),111)</f>
        <v>111</v>
      </c>
      <c r="B123" s="47" t="str">
        <f ca="1">IFERROR(__xludf.DUMMYFUNCTION("""COMPUTED_VALUE"""),"5713416")</f>
        <v>5713416</v>
      </c>
      <c r="C123" s="48" t="str">
        <f ca="1">IFERROR(__xludf.DUMMYFUNCTION("""COMPUTED_VALUE"""),"ELMERICH")</f>
        <v>ELMERICH</v>
      </c>
      <c r="D123" s="48" t="str">
        <f ca="1">IFERROR(__xludf.DUMMYFUNCTION("""COMPUTED_VALUE"""),"Justin")</f>
        <v>Justin</v>
      </c>
      <c r="E123" s="49" t="str">
        <f ca="1">IFERROR(__xludf.DUMMYFUNCTION("""COMPUTED_VALUE"""),"06570024")</f>
        <v>06570024</v>
      </c>
      <c r="F123" s="48" t="str">
        <f ca="1">IFERROR(__xludf.DUMMYFUNCTION("""COMPUTED_VALUE"""),"THIONVILLE Tennis de Table")</f>
        <v>THIONVILLE Tennis de Table</v>
      </c>
      <c r="G123" s="50" t="str">
        <f ca="1">IFERROR(__xludf.DUMMYFUNCTION("""COMPUTED_VALUE"""),"CD57")</f>
        <v>CD57</v>
      </c>
      <c r="H123" s="50" t="str">
        <f ca="1">IFERROR(__xludf.DUMMYFUNCTION("""COMPUTED_VALUE"""),"actif")</f>
        <v>actif</v>
      </c>
    </row>
    <row r="124" spans="1:8" ht="12.75">
      <c r="A124" s="46">
        <f ca="1">IFERROR(__xludf.DUMMYFUNCTION("""COMPUTED_VALUE"""),112)</f>
        <v>112</v>
      </c>
      <c r="B124" s="47" t="str">
        <f ca="1">IFERROR(__xludf.DUMMYFUNCTION("""COMPUTED_VALUE"""),"5731134")</f>
        <v>5731134</v>
      </c>
      <c r="C124" s="48" t="str">
        <f ca="1">IFERROR(__xludf.DUMMYFUNCTION("""COMPUTED_VALUE"""),"ETIENNE")</f>
        <v>ETIENNE</v>
      </c>
      <c r="D124" s="48" t="str">
        <f ca="1">IFERROR(__xludf.DUMMYFUNCTION("""COMPUTED_VALUE"""),"Maxime")</f>
        <v>Maxime</v>
      </c>
      <c r="E124" s="49" t="str">
        <f ca="1">IFERROR(__xludf.DUMMYFUNCTION("""COMPUTED_VALUE"""),"06540104")</f>
        <v>06540104</v>
      </c>
      <c r="F124" s="48" t="str">
        <f ca="1">IFERROR(__xludf.DUMMYFUNCTION("""COMPUTED_VALUE"""),"AUDUN LE ROMAN ASTT")</f>
        <v>AUDUN LE ROMAN ASTT</v>
      </c>
      <c r="G124" s="50" t="str">
        <f ca="1">IFERROR(__xludf.DUMMYFUNCTION("""COMPUTED_VALUE"""),"CD54")</f>
        <v>CD54</v>
      </c>
      <c r="H124" s="50" t="str">
        <f ca="1">IFERROR(__xludf.DUMMYFUNCTION("""COMPUTED_VALUE"""),"actif")</f>
        <v>actif</v>
      </c>
    </row>
    <row r="125" spans="1:8" ht="12.75">
      <c r="A125" s="46">
        <f ca="1">IFERROR(__xludf.DUMMYFUNCTION("""COMPUTED_VALUE"""),113)</f>
        <v>113</v>
      </c>
      <c r="B125" s="47" t="str">
        <f ca="1">IFERROR(__xludf.DUMMYFUNCTION("""COMPUTED_VALUE"""),"5428329")</f>
        <v>5428329</v>
      </c>
      <c r="C125" s="48" t="str">
        <f ca="1">IFERROR(__xludf.DUMMYFUNCTION("""COMPUTED_VALUE"""),"FAGOT")</f>
        <v>FAGOT</v>
      </c>
      <c r="D125" s="48" t="str">
        <f ca="1">IFERROR(__xludf.DUMMYFUNCTION("""COMPUTED_VALUE"""),"Remy")</f>
        <v>Remy</v>
      </c>
      <c r="E125" s="49" t="str">
        <f ca="1">IFERROR(__xludf.DUMMYFUNCTION("""COMPUTED_VALUE"""),"06540198")</f>
        <v>06540198</v>
      </c>
      <c r="F125" s="48" t="str">
        <f ca="1">IFERROR(__xludf.DUMMYFUNCTION("""COMPUTED_VALUE"""),"VANDOEUVRE ASTT")</f>
        <v>VANDOEUVRE ASTT</v>
      </c>
      <c r="G125" s="50" t="str">
        <f ca="1">IFERROR(__xludf.DUMMYFUNCTION("""COMPUTED_VALUE"""),"CD54")</f>
        <v>CD54</v>
      </c>
      <c r="H125" s="50" t="str">
        <f ca="1">IFERROR(__xludf.DUMMYFUNCTION("""COMPUTED_VALUE"""),"actif")</f>
        <v>actif</v>
      </c>
    </row>
    <row r="126" spans="1:8" ht="12.75">
      <c r="A126" s="46">
        <f ca="1">IFERROR(__xludf.DUMMYFUNCTION("""COMPUTED_VALUE"""),114)</f>
        <v>114</v>
      </c>
      <c r="B126" s="47" t="str">
        <f ca="1">IFERROR(__xludf.DUMMYFUNCTION("""COMPUTED_VALUE"""),"6811925")</f>
        <v>6811925</v>
      </c>
      <c r="C126" s="48" t="str">
        <f ca="1">IFERROR(__xludf.DUMMYFUNCTION("""COMPUTED_VALUE"""),"FEHR")</f>
        <v>FEHR</v>
      </c>
      <c r="D126" s="48" t="str">
        <f ca="1">IFERROR(__xludf.DUMMYFUNCTION("""COMPUTED_VALUE"""),"Benjamin")</f>
        <v>Benjamin</v>
      </c>
      <c r="E126" s="49" t="str">
        <f ca="1">IFERROR(__xludf.DUMMYFUNCTION("""COMPUTED_VALUE"""),"06680118")</f>
        <v>06680118</v>
      </c>
      <c r="F126" s="48" t="str">
        <f ca="1">IFERROR(__xludf.DUMMYFUNCTION("""COMPUTED_VALUE"""),"WITTELSHEIM MDPA TT")</f>
        <v>WITTELSHEIM MDPA TT</v>
      </c>
      <c r="G126" s="50" t="str">
        <f ca="1">IFERROR(__xludf.DUMMYFUNCTION("""COMPUTED_VALUE"""),"CD68")</f>
        <v>CD68</v>
      </c>
      <c r="H126" s="50" t="str">
        <f ca="1">IFERROR(__xludf.DUMMYFUNCTION("""COMPUTED_VALUE"""),"actif")</f>
        <v>actif</v>
      </c>
    </row>
    <row r="127" spans="1:8" ht="12.75">
      <c r="A127" s="46">
        <f ca="1">IFERROR(__xludf.DUMMYFUNCTION("""COMPUTED_VALUE"""),115)</f>
        <v>115</v>
      </c>
      <c r="B127" s="47" t="str">
        <f ca="1">IFERROR(__xludf.DUMMYFUNCTION("""COMPUTED_VALUE"""),"685657")</f>
        <v>685657</v>
      </c>
      <c r="C127" s="48" t="str">
        <f ca="1">IFERROR(__xludf.DUMMYFUNCTION("""COMPUTED_VALUE"""),"FELDER")</f>
        <v>FELDER</v>
      </c>
      <c r="D127" s="48" t="str">
        <f ca="1">IFERROR(__xludf.DUMMYFUNCTION("""COMPUTED_VALUE"""),"Emmanuel")</f>
        <v>Emmanuel</v>
      </c>
      <c r="E127" s="49" t="str">
        <f ca="1">IFERROR(__xludf.DUMMYFUNCTION("""COMPUTED_VALUE"""),"06680082")</f>
        <v>06680082</v>
      </c>
      <c r="F127" s="48" t="str">
        <f ca="1">IFERROR(__xludf.DUMMYFUNCTION("""COMPUTED_VALUE"""),"SAINT-LOUIS TT")</f>
        <v>SAINT-LOUIS TT</v>
      </c>
      <c r="G127" s="50" t="str">
        <f ca="1">IFERROR(__xludf.DUMMYFUNCTION("""COMPUTED_VALUE"""),"CD68")</f>
        <v>CD68</v>
      </c>
      <c r="H127" s="50" t="str">
        <f ca="1">IFERROR(__xludf.DUMMYFUNCTION("""COMPUTED_VALUE"""),"actif")</f>
        <v>actif</v>
      </c>
    </row>
    <row r="128" spans="1:8" ht="12.75">
      <c r="A128" s="46">
        <f ca="1">IFERROR(__xludf.DUMMYFUNCTION("""COMPUTED_VALUE"""),116)</f>
        <v>116</v>
      </c>
      <c r="B128" s="47" t="str">
        <f ca="1">IFERROR(__xludf.DUMMYFUNCTION("""COMPUTED_VALUE"""),"519333")</f>
        <v>519333</v>
      </c>
      <c r="C128" s="48" t="str">
        <f ca="1">IFERROR(__xludf.DUMMYFUNCTION("""COMPUTED_VALUE"""),"FERNANDES")</f>
        <v>FERNANDES</v>
      </c>
      <c r="D128" s="48" t="str">
        <f ca="1">IFERROR(__xludf.DUMMYFUNCTION("""COMPUTED_VALUE"""),"Mathieu")</f>
        <v>Mathieu</v>
      </c>
      <c r="E128" s="49" t="str">
        <f ca="1">IFERROR(__xludf.DUMMYFUNCTION("""COMPUTED_VALUE"""),"06510018")</f>
        <v>06510018</v>
      </c>
      <c r="F128" s="48" t="str">
        <f ca="1">IFERROR(__xludf.DUMMYFUNCTION("""COMPUTED_VALUE"""),"REIMS ASPTT")</f>
        <v>REIMS ASPTT</v>
      </c>
      <c r="G128" s="50" t="str">
        <f ca="1">IFERROR(__xludf.DUMMYFUNCTION("""COMPUTED_VALUE"""),"CD51")</f>
        <v>CD51</v>
      </c>
      <c r="H128" s="50" t="str">
        <f ca="1">IFERROR(__xludf.DUMMYFUNCTION("""COMPUTED_VALUE"""),"actif")</f>
        <v>actif</v>
      </c>
    </row>
    <row r="129" spans="1:8" ht="12.75">
      <c r="A129" s="46">
        <f ca="1">IFERROR(__xludf.DUMMYFUNCTION("""COMPUTED_VALUE"""),117)</f>
        <v>117</v>
      </c>
      <c r="B129" s="47" t="str">
        <f ca="1">IFERROR(__xludf.DUMMYFUNCTION("""COMPUTED_VALUE"""),"5435344")</f>
        <v>5435344</v>
      </c>
      <c r="C129" s="48" t="str">
        <f ca="1">IFERROR(__xludf.DUMMYFUNCTION("""COMPUTED_VALUE"""),"FINEL")</f>
        <v>FINEL</v>
      </c>
      <c r="D129" s="48" t="str">
        <f ca="1">IFERROR(__xludf.DUMMYFUNCTION("""COMPUTED_VALUE"""),"Quentin")</f>
        <v>Quentin</v>
      </c>
      <c r="E129" s="49" t="str">
        <f ca="1">IFERROR(__xludf.DUMMYFUNCTION("""COMPUTED_VALUE"""),"06540010")</f>
        <v>06540010</v>
      </c>
      <c r="F129" s="48" t="str">
        <f ca="1">IFERROR(__xludf.DUMMYFUNCTION("""COMPUTED_VALUE"""),"FOUG C.P.")</f>
        <v>FOUG C.P.</v>
      </c>
      <c r="G129" s="50" t="str">
        <f ca="1">IFERROR(__xludf.DUMMYFUNCTION("""COMPUTED_VALUE"""),"CD54")</f>
        <v>CD54</v>
      </c>
      <c r="H129" s="50" t="str">
        <f ca="1">IFERROR(__xludf.DUMMYFUNCTION("""COMPUTED_VALUE"""),"actif")</f>
        <v>actif</v>
      </c>
    </row>
    <row r="130" spans="1:8" ht="12.75">
      <c r="A130" s="46">
        <f ca="1">IFERROR(__xludf.DUMMYFUNCTION("""COMPUTED_VALUE"""),118)</f>
        <v>118</v>
      </c>
      <c r="B130" s="47" t="str">
        <f ca="1">IFERROR(__xludf.DUMMYFUNCTION("""COMPUTED_VALUE"""),"5719649")</f>
        <v>5719649</v>
      </c>
      <c r="C130" s="48" t="str">
        <f ca="1">IFERROR(__xludf.DUMMYFUNCTION("""COMPUTED_VALUE"""),"FISCHER")</f>
        <v>FISCHER</v>
      </c>
      <c r="D130" s="48" t="str">
        <f ca="1">IFERROR(__xludf.DUMMYFUNCTION("""COMPUTED_VALUE"""),"Philippe")</f>
        <v>Philippe</v>
      </c>
      <c r="E130" s="49" t="str">
        <f ca="1">IFERROR(__xludf.DUMMYFUNCTION("""COMPUTED_VALUE"""),"06570024")</f>
        <v>06570024</v>
      </c>
      <c r="F130" s="48" t="str">
        <f ca="1">IFERROR(__xludf.DUMMYFUNCTION("""COMPUTED_VALUE"""),"THIONVILLE Tennis de Table")</f>
        <v>THIONVILLE Tennis de Table</v>
      </c>
      <c r="G130" s="50" t="str">
        <f ca="1">IFERROR(__xludf.DUMMYFUNCTION("""COMPUTED_VALUE"""),"CD57")</f>
        <v>CD57</v>
      </c>
      <c r="H130" s="50" t="str">
        <f ca="1">IFERROR(__xludf.DUMMYFUNCTION("""COMPUTED_VALUE"""),"actif")</f>
        <v>actif</v>
      </c>
    </row>
    <row r="131" spans="1:8" ht="12.75">
      <c r="A131" s="46">
        <f ca="1">IFERROR(__xludf.DUMMYFUNCTION("""COMPUTED_VALUE"""),119)</f>
        <v>119</v>
      </c>
      <c r="B131" s="47" t="str">
        <f ca="1">IFERROR(__xludf.DUMMYFUNCTION("""COMPUTED_VALUE"""),"8814794")</f>
        <v>8814794</v>
      </c>
      <c r="C131" s="48" t="str">
        <f ca="1">IFERROR(__xludf.DUMMYFUNCTION("""COMPUTED_VALUE"""),"FLEURANCE")</f>
        <v>FLEURANCE</v>
      </c>
      <c r="D131" s="48" t="str">
        <f ca="1">IFERROR(__xludf.DUMMYFUNCTION("""COMPUTED_VALUE"""),"Noa")</f>
        <v>Noa</v>
      </c>
      <c r="E131" s="49" t="str">
        <f ca="1">IFERROR(__xludf.DUMMYFUNCTION("""COMPUTED_VALUE"""),"06880010")</f>
        <v>06880010</v>
      </c>
      <c r="F131" s="48" t="str">
        <f ca="1">IFERROR(__xludf.DUMMYFUNCTION("""COMPUTED_VALUE"""),"SAINT DIE SRDTT")</f>
        <v>SAINT DIE SRDTT</v>
      </c>
      <c r="G131" s="50" t="str">
        <f ca="1">IFERROR(__xludf.DUMMYFUNCTION("""COMPUTED_VALUE"""),"CD88")</f>
        <v>CD88</v>
      </c>
      <c r="H131" s="50" t="str">
        <f ca="1">IFERROR(__xludf.DUMMYFUNCTION("""COMPUTED_VALUE"""),"actif")</f>
        <v>actif</v>
      </c>
    </row>
    <row r="132" spans="1:8" ht="12.75">
      <c r="A132" s="46">
        <f ca="1">IFERROR(__xludf.DUMMYFUNCTION("""COMPUTED_VALUE"""),120)</f>
        <v>120</v>
      </c>
      <c r="B132" s="47" t="str">
        <f ca="1">IFERROR(__xludf.DUMMYFUNCTION("""COMPUTED_VALUE"""),"671406")</f>
        <v>671406</v>
      </c>
      <c r="C132" s="48" t="str">
        <f ca="1">IFERROR(__xludf.DUMMYFUNCTION("""COMPUTED_VALUE"""),"FOELS")</f>
        <v>FOELS</v>
      </c>
      <c r="D132" s="48" t="str">
        <f ca="1">IFERROR(__xludf.DUMMYFUNCTION("""COMPUTED_VALUE"""),"Christophe")</f>
        <v>Christophe</v>
      </c>
      <c r="E132" s="49" t="str">
        <f ca="1">IFERROR(__xludf.DUMMYFUNCTION("""COMPUTED_VALUE"""),"06670041")</f>
        <v>06670041</v>
      </c>
      <c r="F132" s="48" t="str">
        <f ca="1">IFERROR(__xludf.DUMMYFUNCTION("""COMPUTED_VALUE"""),"ZORN TT HOCHFELDEN")</f>
        <v>ZORN TT HOCHFELDEN</v>
      </c>
      <c r="G132" s="50" t="str">
        <f ca="1">IFERROR(__xludf.DUMMYFUNCTION("""COMPUTED_VALUE"""),"CD67")</f>
        <v>CD67</v>
      </c>
      <c r="H132" s="50" t="str">
        <f ca="1">IFERROR(__xludf.DUMMYFUNCTION("""COMPUTED_VALUE"""),"actif")</f>
        <v>actif</v>
      </c>
    </row>
    <row r="133" spans="1:8" ht="12.75">
      <c r="A133" s="46">
        <f ca="1">IFERROR(__xludf.DUMMYFUNCTION("""COMPUTED_VALUE"""),121)</f>
        <v>121</v>
      </c>
      <c r="B133" s="47" t="str">
        <f ca="1">IFERROR(__xludf.DUMMYFUNCTION("""COMPUTED_VALUE"""),"6717041")</f>
        <v>6717041</v>
      </c>
      <c r="C133" s="48" t="str">
        <f ca="1">IFERROR(__xludf.DUMMYFUNCTION("""COMPUTED_VALUE"""),"FOELS")</f>
        <v>FOELS</v>
      </c>
      <c r="D133" s="48" t="str">
        <f ca="1">IFERROR(__xludf.DUMMYFUNCTION("""COMPUTED_VALUE"""),"Helene")</f>
        <v>Helene</v>
      </c>
      <c r="E133" s="49" t="str">
        <f ca="1">IFERROR(__xludf.DUMMYFUNCTION("""COMPUTED_VALUE"""),"06670160")</f>
        <v>06670160</v>
      </c>
      <c r="F133" s="48" t="str">
        <f ca="1">IFERROR(__xludf.DUMMYFUNCTION("""COMPUTED_VALUE"""),"T.T.Haguenau Wissembourg")</f>
        <v>T.T.Haguenau Wissembourg</v>
      </c>
      <c r="G133" s="50" t="str">
        <f ca="1">IFERROR(__xludf.DUMMYFUNCTION("""COMPUTED_VALUE"""),"CD67")</f>
        <v>CD67</v>
      </c>
      <c r="H133" s="50" t="str">
        <f ca="1">IFERROR(__xludf.DUMMYFUNCTION("""COMPUTED_VALUE"""),"actif")</f>
        <v>actif</v>
      </c>
    </row>
    <row r="134" spans="1:8" ht="12.75">
      <c r="A134" s="46">
        <f ca="1">IFERROR(__xludf.DUMMYFUNCTION("""COMPUTED_VALUE"""),122)</f>
        <v>122</v>
      </c>
      <c r="B134" s="47" t="str">
        <f ca="1">IFERROR(__xludf.DUMMYFUNCTION("""COMPUTED_VALUE"""),"555107")</f>
        <v>555107</v>
      </c>
      <c r="C134" s="48" t="str">
        <f ca="1">IFERROR(__xludf.DUMMYFUNCTION("""COMPUTED_VALUE"""),"FOURMONT")</f>
        <v>FOURMONT</v>
      </c>
      <c r="D134" s="48" t="str">
        <f ca="1">IFERROR(__xludf.DUMMYFUNCTION("""COMPUTED_VALUE"""),"Daniel")</f>
        <v>Daniel</v>
      </c>
      <c r="E134" s="49" t="str">
        <f ca="1">IFERROR(__xludf.DUMMYFUNCTION("""COMPUTED_VALUE"""),"06550013")</f>
        <v>06550013</v>
      </c>
      <c r="F134" s="48" t="str">
        <f ca="1">IFERROR(__xludf.DUMMYFUNCTION("""COMPUTED_VALUE"""),"VERDUN S.A.V.T.T.")</f>
        <v>VERDUN S.A.V.T.T.</v>
      </c>
      <c r="G134" s="52" t="str">
        <f ca="1">IFERROR(__xludf.DUMMYFUNCTION("""COMPUTED_VALUE"""),"CD55")</f>
        <v>CD55</v>
      </c>
      <c r="H134" s="50" t="str">
        <f ca="1">IFERROR(__xludf.DUMMYFUNCTION("""COMPUTED_VALUE"""),"actif")</f>
        <v>actif</v>
      </c>
    </row>
    <row r="135" spans="1:8" ht="12.75">
      <c r="A135" s="46">
        <f ca="1">IFERROR(__xludf.DUMMYFUNCTION("""COMPUTED_VALUE"""),123)</f>
        <v>123</v>
      </c>
      <c r="B135" s="47" t="str">
        <f ca="1">IFERROR(__xludf.DUMMYFUNCTION("""COMPUTED_VALUE"""),"089707")</f>
        <v>089707</v>
      </c>
      <c r="C135" s="48" t="str">
        <f ca="1">IFERROR(__xludf.DUMMYFUNCTION("""COMPUTED_VALUE"""),"FRANCOIS")</f>
        <v>FRANCOIS</v>
      </c>
      <c r="D135" s="48" t="str">
        <f ca="1">IFERROR(__xludf.DUMMYFUNCTION("""COMPUTED_VALUE"""),"Alain")</f>
        <v>Alain</v>
      </c>
      <c r="E135" s="49" t="str">
        <f ca="1">IFERROR(__xludf.DUMMYFUNCTION("""COMPUTED_VALUE"""),"06080035")</f>
        <v>06080035</v>
      </c>
      <c r="F135" s="48" t="str">
        <f ca="1">IFERROR(__xludf.DUMMYFUNCTION("""COMPUTED_VALUE"""),"CHARLEVILLE MEZIERES ARDENNES TT")</f>
        <v>CHARLEVILLE MEZIERES ARDENNES TT</v>
      </c>
      <c r="G135" s="50" t="str">
        <f ca="1">IFERROR(__xludf.DUMMYFUNCTION("""COMPUTED_VALUE"""),"CD08")</f>
        <v>CD08</v>
      </c>
      <c r="H135" s="50" t="str">
        <f ca="1">IFERROR(__xludf.DUMMYFUNCTION("""COMPUTED_VALUE"""),"actif")</f>
        <v>actif</v>
      </c>
    </row>
    <row r="136" spans="1:8" ht="12.75">
      <c r="A136" s="46">
        <f ca="1">IFERROR(__xludf.DUMMYFUNCTION("""COMPUTED_VALUE"""),124)</f>
        <v>124</v>
      </c>
      <c r="B136" s="47" t="str">
        <f ca="1">IFERROR(__xludf.DUMMYFUNCTION("""COMPUTED_VALUE"""),"5735257")</f>
        <v>5735257</v>
      </c>
      <c r="C136" s="48" t="str">
        <f ca="1">IFERROR(__xludf.DUMMYFUNCTION("""COMPUTED_VALUE"""),"FRASNAY")</f>
        <v>FRASNAY</v>
      </c>
      <c r="D136" s="48" t="str">
        <f ca="1">IFERROR(__xludf.DUMMYFUNCTION("""COMPUTED_VALUE"""),"Axel")</f>
        <v>Axel</v>
      </c>
      <c r="E136" s="49" t="str">
        <f ca="1">IFERROR(__xludf.DUMMYFUNCTION("""COMPUTED_VALUE"""),"06570190")</f>
        <v>06570190</v>
      </c>
      <c r="F136" s="48" t="str">
        <f ca="1">IFERROR(__xludf.DUMMYFUNCTION("""COMPUTED_VALUE"""),"METZ Tennis de Table")</f>
        <v>METZ Tennis de Table</v>
      </c>
      <c r="G136" s="50" t="str">
        <f ca="1">IFERROR(__xludf.DUMMYFUNCTION("""COMPUTED_VALUE"""),"CD57")</f>
        <v>CD57</v>
      </c>
      <c r="H136" s="50" t="str">
        <f ca="1">IFERROR(__xludf.DUMMYFUNCTION("""COMPUTED_VALUE"""),"actif")</f>
        <v>actif</v>
      </c>
    </row>
    <row r="137" spans="1:8" ht="12.75">
      <c r="A137" s="46">
        <f ca="1">IFERROR(__xludf.DUMMYFUNCTION("""COMPUTED_VALUE"""),125)</f>
        <v>125</v>
      </c>
      <c r="B137" s="47" t="str">
        <f ca="1">IFERROR(__xludf.DUMMYFUNCTION("""COMPUTED_VALUE"""),"887585")</f>
        <v>887585</v>
      </c>
      <c r="C137" s="48" t="str">
        <f ca="1">IFERROR(__xludf.DUMMYFUNCTION("""COMPUTED_VALUE"""),"FREMIOT")</f>
        <v>FREMIOT</v>
      </c>
      <c r="D137" s="48" t="str">
        <f ca="1">IFERROR(__xludf.DUMMYFUNCTION("""COMPUTED_VALUE"""),"Sebastien")</f>
        <v>Sebastien</v>
      </c>
      <c r="E137" s="49" t="str">
        <f ca="1">IFERROR(__xludf.DUMMYFUNCTION("""COMPUTED_VALUE"""),"06680118")</f>
        <v>06680118</v>
      </c>
      <c r="F137" s="48" t="str">
        <f ca="1">IFERROR(__xludf.DUMMYFUNCTION("""COMPUTED_VALUE"""),"WITTELSHEIM MDPA TT")</f>
        <v>WITTELSHEIM MDPA TT</v>
      </c>
      <c r="G137" s="50" t="str">
        <f ca="1">IFERROR(__xludf.DUMMYFUNCTION("""COMPUTED_VALUE"""),"CD68")</f>
        <v>CD68</v>
      </c>
      <c r="H137" s="50" t="str">
        <f ca="1">IFERROR(__xludf.DUMMYFUNCTION("""COMPUTED_VALUE"""),"actif")</f>
        <v>actif</v>
      </c>
    </row>
    <row r="138" spans="1:8" ht="12.75">
      <c r="A138" s="46">
        <f ca="1">IFERROR(__xludf.DUMMYFUNCTION("""COMPUTED_VALUE"""),126)</f>
        <v>126</v>
      </c>
      <c r="B138" s="47" t="str">
        <f ca="1">IFERROR(__xludf.DUMMYFUNCTION("""COMPUTED_VALUE"""),"672865")</f>
        <v>672865</v>
      </c>
      <c r="C138" s="48" t="str">
        <f ca="1">IFERROR(__xludf.DUMMYFUNCTION("""COMPUTED_VALUE"""),"FREY")</f>
        <v>FREY</v>
      </c>
      <c r="D138" s="48" t="str">
        <f ca="1">IFERROR(__xludf.DUMMYFUNCTION("""COMPUTED_VALUE"""),"Jean-Paul")</f>
        <v>Jean-Paul</v>
      </c>
      <c r="E138" s="49" t="str">
        <f ca="1">IFERROR(__xludf.DUMMYFUNCTION("""COMPUTED_VALUE"""),"06670160")</f>
        <v>06670160</v>
      </c>
      <c r="F138" s="48" t="str">
        <f ca="1">IFERROR(__xludf.DUMMYFUNCTION("""COMPUTED_VALUE"""),"T.T.Haguenau Wissembourg")</f>
        <v>T.T.Haguenau Wissembourg</v>
      </c>
      <c r="G138" s="50" t="str">
        <f ca="1">IFERROR(__xludf.DUMMYFUNCTION("""COMPUTED_VALUE"""),"CD67")</f>
        <v>CD67</v>
      </c>
      <c r="H138" s="50" t="str">
        <f ca="1">IFERROR(__xludf.DUMMYFUNCTION("""COMPUTED_VALUE"""),"actif")</f>
        <v>actif</v>
      </c>
    </row>
    <row r="139" spans="1:8" ht="12.75">
      <c r="A139" s="46">
        <f ca="1">IFERROR(__xludf.DUMMYFUNCTION("""COMPUTED_VALUE"""),127)</f>
        <v>127</v>
      </c>
      <c r="B139" s="47" t="str">
        <f ca="1">IFERROR(__xludf.DUMMYFUNCTION("""COMPUTED_VALUE"""),"5736528")</f>
        <v>5736528</v>
      </c>
      <c r="C139" s="48" t="str">
        <f ca="1">IFERROR(__xludf.DUMMYFUNCTION("""COMPUTED_VALUE"""),"FRIANT")</f>
        <v>FRIANT</v>
      </c>
      <c r="D139" s="48" t="str">
        <f ca="1">IFERROR(__xludf.DUMMYFUNCTION("""COMPUTED_VALUE"""),"Quentin")</f>
        <v>Quentin</v>
      </c>
      <c r="E139" s="49" t="str">
        <f ca="1">IFERROR(__xludf.DUMMYFUNCTION("""COMPUTED_VALUE"""),"06570111")</f>
        <v>06570111</v>
      </c>
      <c r="F139" s="48" t="str">
        <f ca="1">IFERROR(__xludf.DUMMYFUNCTION("""COMPUTED_VALUE"""),"SARREBOURG TT")</f>
        <v>SARREBOURG TT</v>
      </c>
      <c r="G139" s="50" t="str">
        <f ca="1">IFERROR(__xludf.DUMMYFUNCTION("""COMPUTED_VALUE"""),"CD57")</f>
        <v>CD57</v>
      </c>
      <c r="H139" s="50" t="str">
        <f ca="1">IFERROR(__xludf.DUMMYFUNCTION("""COMPUTED_VALUE"""),"actif")</f>
        <v>actif</v>
      </c>
    </row>
    <row r="140" spans="1:8" ht="12.75">
      <c r="A140" s="46">
        <f ca="1">IFERROR(__xludf.DUMMYFUNCTION("""COMPUTED_VALUE"""),128)</f>
        <v>128</v>
      </c>
      <c r="B140" s="47" t="str">
        <f ca="1">IFERROR(__xludf.DUMMYFUNCTION("""COMPUTED_VALUE"""),"5716010")</f>
        <v>5716010</v>
      </c>
      <c r="C140" s="48" t="str">
        <f ca="1">IFERROR(__xludf.DUMMYFUNCTION("""COMPUTED_VALUE"""),"FRIARD")</f>
        <v>FRIARD</v>
      </c>
      <c r="D140" s="48" t="str">
        <f ca="1">IFERROR(__xludf.DUMMYFUNCTION("""COMPUTED_VALUE"""),"Guillaume")</f>
        <v>Guillaume</v>
      </c>
      <c r="E140" s="49" t="str">
        <f ca="1">IFERROR(__xludf.DUMMYFUNCTION("""COMPUTED_VALUE"""),"06080035")</f>
        <v>06080035</v>
      </c>
      <c r="F140" s="48" t="str">
        <f ca="1">IFERROR(__xludf.DUMMYFUNCTION("""COMPUTED_VALUE"""),"CHARLEVILLE MEZIERES ARDENNES TT")</f>
        <v>CHARLEVILLE MEZIERES ARDENNES TT</v>
      </c>
      <c r="G140" s="50" t="str">
        <f ca="1">IFERROR(__xludf.DUMMYFUNCTION("""COMPUTED_VALUE"""),"CD08")</f>
        <v>CD08</v>
      </c>
      <c r="H140" s="50" t="str">
        <f ca="1">IFERROR(__xludf.DUMMYFUNCTION("""COMPUTED_VALUE"""),"actif")</f>
        <v>actif</v>
      </c>
    </row>
    <row r="141" spans="1:8" ht="12.75">
      <c r="A141" s="46">
        <f ca="1">IFERROR(__xludf.DUMMYFUNCTION("""COMPUTED_VALUE"""),129)</f>
        <v>129</v>
      </c>
      <c r="B141" s="47" t="str">
        <f ca="1">IFERROR(__xludf.DUMMYFUNCTION("""COMPUTED_VALUE"""),"6811322")</f>
        <v>6811322</v>
      </c>
      <c r="C141" s="48" t="str">
        <f ca="1">IFERROR(__xludf.DUMMYFUNCTION("""COMPUTED_VALUE"""),"FUCHS")</f>
        <v>FUCHS</v>
      </c>
      <c r="D141" s="48" t="str">
        <f ca="1">IFERROR(__xludf.DUMMYFUNCTION("""COMPUTED_VALUE"""),"Damien")</f>
        <v>Damien</v>
      </c>
      <c r="E141" s="49" t="str">
        <f ca="1">IFERROR(__xludf.DUMMYFUNCTION("""COMPUTED_VALUE"""),"06680105")</f>
        <v>06680105</v>
      </c>
      <c r="F141" s="48" t="str">
        <f ca="1">IFERROR(__xludf.DUMMYFUNCTION("""COMPUTED_VALUE"""),"MULHOUSE TENNIS DE TABLE")</f>
        <v>MULHOUSE TENNIS DE TABLE</v>
      </c>
      <c r="G141" s="50" t="str">
        <f ca="1">IFERROR(__xludf.DUMMYFUNCTION("""COMPUTED_VALUE"""),"CD68")</f>
        <v>CD68</v>
      </c>
      <c r="H141" s="50" t="str">
        <f ca="1">IFERROR(__xludf.DUMMYFUNCTION("""COMPUTED_VALUE"""),"actif")</f>
        <v>actif</v>
      </c>
    </row>
    <row r="142" spans="1:8" ht="12.75">
      <c r="A142" s="46">
        <f ca="1">IFERROR(__xludf.DUMMYFUNCTION("""COMPUTED_VALUE"""),130)</f>
        <v>130</v>
      </c>
      <c r="B142" s="47" t="str">
        <f ca="1">IFERROR(__xludf.DUMMYFUNCTION("""COMPUTED_VALUE"""),"5435962")</f>
        <v>5435962</v>
      </c>
      <c r="C142" s="48" t="str">
        <f ca="1">IFERROR(__xludf.DUMMYFUNCTION("""COMPUTED_VALUE"""),"FUMERON")</f>
        <v>FUMERON</v>
      </c>
      <c r="D142" s="48" t="str">
        <f ca="1">IFERROR(__xludf.DUMMYFUNCTION("""COMPUTED_VALUE"""),"Sébastien")</f>
        <v>Sébastien</v>
      </c>
      <c r="E142" s="49" t="str">
        <f ca="1">IFERROR(__xludf.DUMMYFUNCTION("""COMPUTED_VALUE"""),"06540010")</f>
        <v>06540010</v>
      </c>
      <c r="F142" s="48" t="str">
        <f ca="1">IFERROR(__xludf.DUMMYFUNCTION("""COMPUTED_VALUE"""),"FOUG C.P.")</f>
        <v>FOUG C.P.</v>
      </c>
      <c r="G142" s="50" t="str">
        <f ca="1">IFERROR(__xludf.DUMMYFUNCTION("""COMPUTED_VALUE"""),"CD54")</f>
        <v>CD54</v>
      </c>
      <c r="H142" s="50" t="str">
        <f ca="1">IFERROR(__xludf.DUMMYFUNCTION("""COMPUTED_VALUE"""),"actif")</f>
        <v>actif</v>
      </c>
    </row>
    <row r="143" spans="1:8" ht="12.75">
      <c r="A143" s="46">
        <f ca="1">IFERROR(__xludf.DUMMYFUNCTION("""COMPUTED_VALUE"""),131)</f>
        <v>131</v>
      </c>
      <c r="B143" s="47" t="str">
        <f ca="1">IFERROR(__xludf.DUMMYFUNCTION("""COMPUTED_VALUE"""),"107034")</f>
        <v>107034</v>
      </c>
      <c r="C143" s="48" t="str">
        <f ca="1">IFERROR(__xludf.DUMMYFUNCTION("""COMPUTED_VALUE"""),"GAEREMYNCK")</f>
        <v>GAEREMYNCK</v>
      </c>
      <c r="D143" s="48" t="str">
        <f ca="1">IFERROR(__xludf.DUMMYFUNCTION("""COMPUTED_VALUE"""),"Valerie")</f>
        <v>Valerie</v>
      </c>
      <c r="E143" s="49" t="str">
        <f ca="1">IFERROR(__xludf.DUMMYFUNCTION("""COMPUTED_VALUE"""),"06100041")</f>
        <v>06100041</v>
      </c>
      <c r="F143" s="48" t="str">
        <f ca="1">IFERROR(__xludf.DUMMYFUNCTION("""COMPUTED_VALUE"""),"AIX EN OTHE SDTDT")</f>
        <v>AIX EN OTHE SDTDT</v>
      </c>
      <c r="G143" s="50" t="str">
        <f ca="1">IFERROR(__xludf.DUMMYFUNCTION("""COMPUTED_VALUE"""),"CD10")</f>
        <v>CD10</v>
      </c>
      <c r="H143" s="50" t="str">
        <f ca="1">IFERROR(__xludf.DUMMYFUNCTION("""COMPUTED_VALUE"""),"actif")</f>
        <v>actif</v>
      </c>
    </row>
    <row r="144" spans="1:8" ht="12.75">
      <c r="A144" s="46">
        <f ca="1">IFERROR(__xludf.DUMMYFUNCTION("""COMPUTED_VALUE"""),132)</f>
        <v>132</v>
      </c>
      <c r="B144" s="47" t="str">
        <f ca="1">IFERROR(__xludf.DUMMYFUNCTION("""COMPUTED_VALUE"""),"5419241")</f>
        <v>5419241</v>
      </c>
      <c r="C144" s="48" t="str">
        <f ca="1">IFERROR(__xludf.DUMMYFUNCTION("""COMPUTED_VALUE"""),"GATICA")</f>
        <v>GATICA</v>
      </c>
      <c r="D144" s="48" t="str">
        <f ca="1">IFERROR(__xludf.DUMMYFUNCTION("""COMPUTED_VALUE"""),"Kevin")</f>
        <v>Kevin</v>
      </c>
      <c r="E144" s="49" t="str">
        <f ca="1">IFERROR(__xludf.DUMMYFUNCTION("""COMPUTED_VALUE"""),"06540108")</f>
        <v>06540108</v>
      </c>
      <c r="F144" s="48" t="str">
        <f ca="1">IFERROR(__xludf.DUMMYFUNCTION("""COMPUTED_VALUE"""),"BLENOD MONTAUVILLE TT")</f>
        <v>BLENOD MONTAUVILLE TT</v>
      </c>
      <c r="G144" s="50" t="str">
        <f ca="1">IFERROR(__xludf.DUMMYFUNCTION("""COMPUTED_VALUE"""),"CD54")</f>
        <v>CD54</v>
      </c>
      <c r="H144" s="50" t="str">
        <f ca="1">IFERROR(__xludf.DUMMYFUNCTION("""COMPUTED_VALUE"""),"actif")</f>
        <v>actif</v>
      </c>
    </row>
    <row r="145" spans="1:8" ht="12.75">
      <c r="A145" s="46">
        <f ca="1">IFERROR(__xludf.DUMMYFUNCTION("""COMPUTED_VALUE"""),133)</f>
        <v>133</v>
      </c>
      <c r="B145" s="47" t="str">
        <f ca="1">IFERROR(__xludf.DUMMYFUNCTION("""COMPUTED_VALUE"""),"0812745")</f>
        <v>0812745</v>
      </c>
      <c r="C145" s="48" t="str">
        <f ca="1">IFERROR(__xludf.DUMMYFUNCTION("""COMPUTED_VALUE"""),"GAUDION")</f>
        <v>GAUDION</v>
      </c>
      <c r="D145" s="48" t="str">
        <f ca="1">IFERROR(__xludf.DUMMYFUNCTION("""COMPUTED_VALUE"""),"Laetitia")</f>
        <v>Laetitia</v>
      </c>
      <c r="E145" s="49" t="str">
        <f ca="1">IFERROR(__xludf.DUMMYFUNCTION("""COMPUTED_VALUE"""),"06080035")</f>
        <v>06080035</v>
      </c>
      <c r="F145" s="48" t="str">
        <f ca="1">IFERROR(__xludf.DUMMYFUNCTION("""COMPUTED_VALUE"""),"CHARLEVILLE MEZIERES ARDENNES TT")</f>
        <v>CHARLEVILLE MEZIERES ARDENNES TT</v>
      </c>
      <c r="G145" s="51" t="str">
        <f ca="1">IFERROR(__xludf.DUMMYFUNCTION("""COMPUTED_VALUE"""),"CD08")</f>
        <v>CD08</v>
      </c>
      <c r="H145" s="50" t="str">
        <f ca="1">IFERROR(__xludf.DUMMYFUNCTION("""COMPUTED_VALUE"""),"actif")</f>
        <v>actif</v>
      </c>
    </row>
    <row r="146" spans="1:8" ht="12.75">
      <c r="A146" s="46">
        <f ca="1">IFERROR(__xludf.DUMMYFUNCTION("""COMPUTED_VALUE"""),134)</f>
        <v>134</v>
      </c>
      <c r="B146" s="47" t="str">
        <f ca="1">IFERROR(__xludf.DUMMYFUNCTION("""COMPUTED_VALUE"""),"5511828")</f>
        <v>5511828</v>
      </c>
      <c r="C146" s="48" t="str">
        <f ca="1">IFERROR(__xludf.DUMMYFUNCTION("""COMPUTED_VALUE"""),"GAUTIER")</f>
        <v>GAUTIER</v>
      </c>
      <c r="D146" s="48" t="str">
        <f ca="1">IFERROR(__xludf.DUMMYFUNCTION("""COMPUTED_VALUE"""),"Rémi")</f>
        <v>Rémi</v>
      </c>
      <c r="E146" s="49" t="str">
        <f ca="1">IFERROR(__xludf.DUMMYFUNCTION("""COMPUTED_VALUE"""),"06550003")</f>
        <v>06550003</v>
      </c>
      <c r="F146" s="48" t="str">
        <f ca="1">IFERROR(__xludf.DUMMYFUNCTION("""COMPUTED_VALUE"""),"COMMERCY P.P.C.")</f>
        <v>COMMERCY P.P.C.</v>
      </c>
      <c r="G146" s="51" t="str">
        <f ca="1">IFERROR(__xludf.DUMMYFUNCTION("""COMPUTED_VALUE"""),"CD55")</f>
        <v>CD55</v>
      </c>
      <c r="H146" s="50" t="str">
        <f ca="1">IFERROR(__xludf.DUMMYFUNCTION("""COMPUTED_VALUE"""),"actif")</f>
        <v>actif</v>
      </c>
    </row>
    <row r="147" spans="1:8" ht="12.75">
      <c r="A147" s="46">
        <f ca="1">IFERROR(__xludf.DUMMYFUNCTION("""COMPUTED_VALUE"""),135)</f>
        <v>135</v>
      </c>
      <c r="B147" s="47" t="str">
        <f ca="1">IFERROR(__xludf.DUMMYFUNCTION("""COMPUTED_VALUE"""),"5511829")</f>
        <v>5511829</v>
      </c>
      <c r="C147" s="48" t="str">
        <f ca="1">IFERROR(__xludf.DUMMYFUNCTION("""COMPUTED_VALUE"""),"GAUTIER")</f>
        <v>GAUTIER</v>
      </c>
      <c r="D147" s="48" t="str">
        <f ca="1">IFERROR(__xludf.DUMMYFUNCTION("""COMPUTED_VALUE"""),"Mathéo")</f>
        <v>Mathéo</v>
      </c>
      <c r="E147" s="49" t="str">
        <f ca="1">IFERROR(__xludf.DUMMYFUNCTION("""COMPUTED_VALUE"""),"06550003")</f>
        <v>06550003</v>
      </c>
      <c r="F147" s="48" t="str">
        <f ca="1">IFERROR(__xludf.DUMMYFUNCTION("""COMPUTED_VALUE"""),"COMMERCY P.P.C.")</f>
        <v>COMMERCY P.P.C.</v>
      </c>
      <c r="G147" s="50" t="str">
        <f ca="1">IFERROR(__xludf.DUMMYFUNCTION("""COMPUTED_VALUE"""),"CD55")</f>
        <v>CD55</v>
      </c>
      <c r="H147" s="50" t="str">
        <f ca="1">IFERROR(__xludf.DUMMYFUNCTION("""COMPUTED_VALUE"""),"actif")</f>
        <v>actif</v>
      </c>
    </row>
    <row r="148" spans="1:8" ht="12.75">
      <c r="A148" s="46">
        <f ca="1">IFERROR(__xludf.DUMMYFUNCTION("""COMPUTED_VALUE"""),136)</f>
        <v>136</v>
      </c>
      <c r="B148" s="47" t="str">
        <f ca="1">IFERROR(__xludf.DUMMYFUNCTION("""COMPUTED_VALUE"""),"883302")</f>
        <v>883302</v>
      </c>
      <c r="C148" s="48" t="str">
        <f ca="1">IFERROR(__xludf.DUMMYFUNCTION("""COMPUTED_VALUE"""),"GEORGES")</f>
        <v>GEORGES</v>
      </c>
      <c r="D148" s="48" t="str">
        <f ca="1">IFERROR(__xludf.DUMMYFUNCTION("""COMPUTED_VALUE"""),"Olivier")</f>
        <v>Olivier</v>
      </c>
      <c r="E148" s="49" t="str">
        <f ca="1">IFERROR(__xludf.DUMMYFUNCTION("""COMPUTED_VALUE"""),"06880123")</f>
        <v>06880123</v>
      </c>
      <c r="F148" s="48" t="str">
        <f ca="1">IFERROR(__xludf.DUMMYFUNCTION("""COMPUTED_VALUE"""),"ETIVAL ASRTT")</f>
        <v>ETIVAL ASRTT</v>
      </c>
      <c r="G148" s="50" t="str">
        <f ca="1">IFERROR(__xludf.DUMMYFUNCTION("""COMPUTED_VALUE"""),"CD88")</f>
        <v>CD88</v>
      </c>
      <c r="H148" s="50" t="str">
        <f ca="1">IFERROR(__xludf.DUMMYFUNCTION("""COMPUTED_VALUE"""),"actif")</f>
        <v>actif</v>
      </c>
    </row>
    <row r="149" spans="1:8" ht="12.75">
      <c r="A149" s="46">
        <f ca="1">IFERROR(__xludf.DUMMYFUNCTION("""COMPUTED_VALUE"""),137)</f>
        <v>137</v>
      </c>
      <c r="B149" s="47" t="str">
        <f ca="1">IFERROR(__xludf.DUMMYFUNCTION("""COMPUTED_VALUE"""),"6720857")</f>
        <v>6720857</v>
      </c>
      <c r="C149" s="48" t="str">
        <f ca="1">IFERROR(__xludf.DUMMYFUNCTION("""COMPUTED_VALUE"""),"GERBER")</f>
        <v>GERBER</v>
      </c>
      <c r="D149" s="48" t="str">
        <f ca="1">IFERROR(__xludf.DUMMYFUNCTION("""COMPUTED_VALUE"""),"Franck")</f>
        <v>Franck</v>
      </c>
      <c r="E149" s="49" t="str">
        <f ca="1">IFERROR(__xludf.DUMMYFUNCTION("""COMPUTED_VALUE"""),"06670160")</f>
        <v>06670160</v>
      </c>
      <c r="F149" s="48" t="str">
        <f ca="1">IFERROR(__xludf.DUMMYFUNCTION("""COMPUTED_VALUE"""),"T.T.Haguenau Wissembourg")</f>
        <v>T.T.Haguenau Wissembourg</v>
      </c>
      <c r="G149" s="50" t="str">
        <f ca="1">IFERROR(__xludf.DUMMYFUNCTION("""COMPUTED_VALUE"""),"CD67")</f>
        <v>CD67</v>
      </c>
      <c r="H149" s="50" t="str">
        <f ca="1">IFERROR(__xludf.DUMMYFUNCTION("""COMPUTED_VALUE"""),"actif")</f>
        <v>actif</v>
      </c>
    </row>
    <row r="150" spans="1:8" ht="12.75">
      <c r="A150" s="46">
        <f ca="1">IFERROR(__xludf.DUMMYFUNCTION("""COMPUTED_VALUE"""),138)</f>
        <v>138</v>
      </c>
      <c r="B150" s="47" t="str">
        <f ca="1">IFERROR(__xludf.DUMMYFUNCTION("""COMPUTED_VALUE"""),"6815601")</f>
        <v>6815601</v>
      </c>
      <c r="C150" s="48" t="str">
        <f ca="1">IFERROR(__xludf.DUMMYFUNCTION("""COMPUTED_VALUE"""),"GIANNANTONIO")</f>
        <v>GIANNANTONIO</v>
      </c>
      <c r="D150" s="48" t="str">
        <f ca="1">IFERROR(__xludf.DUMMYFUNCTION("""COMPUTED_VALUE"""),"Amaury")</f>
        <v>Amaury</v>
      </c>
      <c r="E150" s="49" t="str">
        <f ca="1">IFERROR(__xludf.DUMMYFUNCTION("""COMPUTED_VALUE"""),"06680105")</f>
        <v>06680105</v>
      </c>
      <c r="F150" s="48" t="str">
        <f ca="1">IFERROR(__xludf.DUMMYFUNCTION("""COMPUTED_VALUE"""),"MULHOUSE TENNIS DE TABLE")</f>
        <v>MULHOUSE TENNIS DE TABLE</v>
      </c>
      <c r="G150" s="50" t="str">
        <f ca="1">IFERROR(__xludf.DUMMYFUNCTION("""COMPUTED_VALUE"""),"CD68")</f>
        <v>CD68</v>
      </c>
      <c r="H150" s="50" t="str">
        <f ca="1">IFERROR(__xludf.DUMMYFUNCTION("""COMPUTED_VALUE"""),"actif")</f>
        <v>actif</v>
      </c>
    </row>
    <row r="151" spans="1:8" ht="12.75">
      <c r="A151" s="46">
        <f ca="1">IFERROR(__xludf.DUMMYFUNCTION("""COMPUTED_VALUE"""),139)</f>
        <v>139</v>
      </c>
      <c r="B151" s="47" t="str">
        <f ca="1">IFERROR(__xludf.DUMMYFUNCTION("""COMPUTED_VALUE"""),"685654")</f>
        <v>685654</v>
      </c>
      <c r="C151" s="48" t="str">
        <f ca="1">IFERROR(__xludf.DUMMYFUNCTION("""COMPUTED_VALUE"""),"GILOT")</f>
        <v>GILOT</v>
      </c>
      <c r="D151" s="48" t="str">
        <f ca="1">IFERROR(__xludf.DUMMYFUNCTION("""COMPUTED_VALUE"""),"Patrick")</f>
        <v>Patrick</v>
      </c>
      <c r="E151" s="49" t="str">
        <f ca="1">IFERROR(__xludf.DUMMYFUNCTION("""COMPUTED_VALUE"""),"06680071")</f>
        <v>06680071</v>
      </c>
      <c r="F151" s="48" t="str">
        <f ca="1">IFERROR(__xludf.DUMMYFUNCTION("""COMPUTED_VALUE"""),"ISSENHEIM TT")</f>
        <v>ISSENHEIM TT</v>
      </c>
      <c r="G151" s="50" t="str">
        <f ca="1">IFERROR(__xludf.DUMMYFUNCTION("""COMPUTED_VALUE"""),"CD68")</f>
        <v>CD68</v>
      </c>
      <c r="H151" s="50" t="str">
        <f ca="1">IFERROR(__xludf.DUMMYFUNCTION("""COMPUTED_VALUE"""),"actif")</f>
        <v>actif</v>
      </c>
    </row>
    <row r="152" spans="1:8" ht="12.75">
      <c r="A152" s="46">
        <f ca="1">IFERROR(__xludf.DUMMYFUNCTION("""COMPUTED_VALUE"""),140)</f>
        <v>140</v>
      </c>
      <c r="B152" s="47" t="str">
        <f ca="1">IFERROR(__xludf.DUMMYFUNCTION("""COMPUTED_VALUE"""),"5734437")</f>
        <v>5734437</v>
      </c>
      <c r="C152" s="48" t="str">
        <f ca="1">IFERROR(__xludf.DUMMYFUNCTION("""COMPUTED_VALUE"""),"GODFRIN")</f>
        <v>GODFRIN</v>
      </c>
      <c r="D152" s="48" t="str">
        <f ca="1">IFERROR(__xludf.DUMMYFUNCTION("""COMPUTED_VALUE"""),"Anicet")</f>
        <v>Anicet</v>
      </c>
      <c r="E152" s="49" t="str">
        <f ca="1">IFERROR(__xludf.DUMMYFUNCTION("""COMPUTED_VALUE"""),"06570005")</f>
        <v>06570005</v>
      </c>
      <c r="F152" s="48" t="str">
        <f ca="1">IFERROR(__xludf.DUMMYFUNCTION("""COMPUTED_VALUE"""),"FAULQUEMONT E.S.C.")</f>
        <v>FAULQUEMONT E.S.C.</v>
      </c>
      <c r="G152" s="50" t="str">
        <f ca="1">IFERROR(__xludf.DUMMYFUNCTION("""COMPUTED_VALUE"""),"CD57")</f>
        <v>CD57</v>
      </c>
      <c r="H152" s="50" t="str">
        <f ca="1">IFERROR(__xludf.DUMMYFUNCTION("""COMPUTED_VALUE"""),"actif")</f>
        <v>actif</v>
      </c>
    </row>
    <row r="153" spans="1:8" ht="12.75">
      <c r="A153" s="46">
        <f ca="1">IFERROR(__xludf.DUMMYFUNCTION("""COMPUTED_VALUE"""),141)</f>
        <v>141</v>
      </c>
      <c r="B153" s="47" t="str">
        <f ca="1">IFERROR(__xludf.DUMMYFUNCTION("""COMPUTED_VALUE"""),"6714325")</f>
        <v>6714325</v>
      </c>
      <c r="C153" s="48" t="str">
        <f ca="1">IFERROR(__xludf.DUMMYFUNCTION("""COMPUTED_VALUE"""),"GOETTELMANN")</f>
        <v>GOETTELMANN</v>
      </c>
      <c r="D153" s="48" t="str">
        <f ca="1">IFERROR(__xludf.DUMMYFUNCTION("""COMPUTED_VALUE"""),"Mathias")</f>
        <v>Mathias</v>
      </c>
      <c r="E153" s="49" t="str">
        <f ca="1">IFERROR(__xludf.DUMMYFUNCTION("""COMPUTED_VALUE"""),"06670122")</f>
        <v>06670122</v>
      </c>
      <c r="F153" s="48" t="str">
        <f ca="1">IFERROR(__xludf.DUMMYFUNCTION("""COMPUTED_VALUE"""),"OBERNAI CA")</f>
        <v>OBERNAI CA</v>
      </c>
      <c r="G153" s="50" t="str">
        <f ca="1">IFERROR(__xludf.DUMMYFUNCTION("""COMPUTED_VALUE"""),"CD67")</f>
        <v>CD67</v>
      </c>
      <c r="H153" s="50" t="str">
        <f ca="1">IFERROR(__xludf.DUMMYFUNCTION("""COMPUTED_VALUE"""),"actif")</f>
        <v>actif</v>
      </c>
    </row>
    <row r="154" spans="1:8" ht="12.75">
      <c r="A154" s="46">
        <f ca="1">IFERROR(__xludf.DUMMYFUNCTION("""COMPUTED_VALUE"""),142)</f>
        <v>142</v>
      </c>
      <c r="B154" s="47" t="str">
        <f ca="1">IFERROR(__xludf.DUMMYFUNCTION("""COMPUTED_VALUE"""),"676947")</f>
        <v>676947</v>
      </c>
      <c r="C154" s="48" t="str">
        <f ca="1">IFERROR(__xludf.DUMMYFUNCTION("""COMPUTED_VALUE"""),"GRANDCLAUDE")</f>
        <v>GRANDCLAUDE</v>
      </c>
      <c r="D154" s="48" t="str">
        <f ca="1">IFERROR(__xludf.DUMMYFUNCTION("""COMPUTED_VALUE"""),"Franck")</f>
        <v>Franck</v>
      </c>
      <c r="E154" s="49" t="str">
        <f ca="1">IFERROR(__xludf.DUMMYFUNCTION("""COMPUTED_VALUE"""),"06670045")</f>
        <v>06670045</v>
      </c>
      <c r="F154" s="48" t="str">
        <f ca="1">IFERROR(__xludf.DUMMYFUNCTION("""COMPUTED_VALUE"""),"STRASBOURG RC")</f>
        <v>STRASBOURG RC</v>
      </c>
      <c r="G154" s="51" t="str">
        <f ca="1">IFERROR(__xludf.DUMMYFUNCTION("""COMPUTED_VALUE"""),"CD67")</f>
        <v>CD67</v>
      </c>
      <c r="H154" s="50" t="str">
        <f ca="1">IFERROR(__xludf.DUMMYFUNCTION("""COMPUTED_VALUE"""),"actif")</f>
        <v>actif</v>
      </c>
    </row>
    <row r="155" spans="1:8" ht="12.75">
      <c r="A155" s="46">
        <f ca="1">IFERROR(__xludf.DUMMYFUNCTION("""COMPUTED_VALUE"""),143)</f>
        <v>143</v>
      </c>
      <c r="B155" s="47" t="str">
        <f ca="1">IFERROR(__xludf.DUMMYFUNCTION("""COMPUTED_VALUE"""),"541344")</f>
        <v>541344</v>
      </c>
      <c r="C155" s="48" t="str">
        <f ca="1">IFERROR(__xludf.DUMMYFUNCTION("""COMPUTED_VALUE"""),"GRAZIANO")</f>
        <v>GRAZIANO</v>
      </c>
      <c r="D155" s="48" t="str">
        <f ca="1">IFERROR(__xludf.DUMMYFUNCTION("""COMPUTED_VALUE"""),"Jean Marc")</f>
        <v>Jean Marc</v>
      </c>
      <c r="E155" s="49" t="str">
        <f ca="1">IFERROR(__xludf.DUMMYFUNCTION("""COMPUTED_VALUE"""),"06540097")</f>
        <v>06540097</v>
      </c>
      <c r="F155" s="48" t="str">
        <f ca="1">IFERROR(__xludf.DUMMYFUNCTION("""COMPUTED_VALUE"""),"TIERCELET M.J.C.")</f>
        <v>TIERCELET M.J.C.</v>
      </c>
      <c r="G155" s="51" t="str">
        <f ca="1">IFERROR(__xludf.DUMMYFUNCTION("""COMPUTED_VALUE"""),"CD54")</f>
        <v>CD54</v>
      </c>
      <c r="H155" s="50" t="str">
        <f ca="1">IFERROR(__xludf.DUMMYFUNCTION("""COMPUTED_VALUE"""),"actif")</f>
        <v>actif</v>
      </c>
    </row>
    <row r="156" spans="1:8" ht="12.75">
      <c r="A156" s="46">
        <f ca="1">IFERROR(__xludf.DUMMYFUNCTION("""COMPUTED_VALUE"""),144)</f>
        <v>144</v>
      </c>
      <c r="B156" s="47" t="str">
        <f ca="1">IFERROR(__xludf.DUMMYFUNCTION("""COMPUTED_VALUE"""),"8820736")</f>
        <v>8820736</v>
      </c>
      <c r="C156" s="48" t="str">
        <f ca="1">IFERROR(__xludf.DUMMYFUNCTION("""COMPUTED_VALUE"""),"GREGOIRE")</f>
        <v>GREGOIRE</v>
      </c>
      <c r="D156" s="48" t="str">
        <f ca="1">IFERROR(__xludf.DUMMYFUNCTION("""COMPUTED_VALUE"""),"Emilie")</f>
        <v>Emilie</v>
      </c>
      <c r="E156" s="49" t="str">
        <f ca="1">IFERROR(__xludf.DUMMYFUNCTION("""COMPUTED_VALUE"""),"06880145")</f>
        <v>06880145</v>
      </c>
      <c r="F156" s="48" t="str">
        <f ca="1">IFERROR(__xludf.DUMMYFUNCTION("""COMPUTED_VALUE"""),"THAON CHENIMENIL E.S.T.T.")</f>
        <v>THAON CHENIMENIL E.S.T.T.</v>
      </c>
      <c r="G156" s="51" t="str">
        <f ca="1">IFERROR(__xludf.DUMMYFUNCTION("""COMPUTED_VALUE"""),"CD88")</f>
        <v>CD88</v>
      </c>
      <c r="H156" s="50" t="str">
        <f ca="1">IFERROR(__xludf.DUMMYFUNCTION("""COMPUTED_VALUE"""),"actif")</f>
        <v>actif</v>
      </c>
    </row>
    <row r="157" spans="1:8" ht="12.75">
      <c r="A157" s="46">
        <f ca="1">IFERROR(__xludf.DUMMYFUNCTION("""COMPUTED_VALUE"""),145)</f>
        <v>145</v>
      </c>
      <c r="B157" s="47" t="str">
        <f ca="1">IFERROR(__xludf.DUMMYFUNCTION("""COMPUTED_VALUE"""),"8819971")</f>
        <v>8819971</v>
      </c>
      <c r="C157" s="48" t="str">
        <f ca="1">IFERROR(__xludf.DUMMYFUNCTION("""COMPUTED_VALUE"""),"GREGOIRE")</f>
        <v>GREGOIRE</v>
      </c>
      <c r="D157" s="48" t="str">
        <f ca="1">IFERROR(__xludf.DUMMYFUNCTION("""COMPUTED_VALUE"""),"Julien")</f>
        <v>Julien</v>
      </c>
      <c r="E157" s="49" t="str">
        <f ca="1">IFERROR(__xludf.DUMMYFUNCTION("""COMPUTED_VALUE"""),"06880145")</f>
        <v>06880145</v>
      </c>
      <c r="F157" s="48" t="str">
        <f ca="1">IFERROR(__xludf.DUMMYFUNCTION("""COMPUTED_VALUE"""),"THAON CHENIMENIL E.S.T.T.")</f>
        <v>THAON CHENIMENIL E.S.T.T.</v>
      </c>
      <c r="G157" s="50" t="str">
        <f ca="1">IFERROR(__xludf.DUMMYFUNCTION("""COMPUTED_VALUE"""),"CD88")</f>
        <v>CD88</v>
      </c>
      <c r="H157" s="50" t="str">
        <f ca="1">IFERROR(__xludf.DUMMYFUNCTION("""COMPUTED_VALUE"""),"actif")</f>
        <v>actif</v>
      </c>
    </row>
    <row r="158" spans="1:8" ht="12.75">
      <c r="A158" s="46">
        <f ca="1">IFERROR(__xludf.DUMMYFUNCTION("""COMPUTED_VALUE"""),146)</f>
        <v>146</v>
      </c>
      <c r="B158" s="47" t="str">
        <f ca="1">IFERROR(__xludf.DUMMYFUNCTION("""COMPUTED_VALUE"""),"8511748")</f>
        <v>8511748</v>
      </c>
      <c r="C158" s="48" t="str">
        <f ca="1">IFERROR(__xludf.DUMMYFUNCTION("""COMPUTED_VALUE"""),"GRELLIER")</f>
        <v>GRELLIER</v>
      </c>
      <c r="D158" s="48" t="str">
        <f ca="1">IFERROR(__xludf.DUMMYFUNCTION("""COMPUTED_VALUE"""),"Frederic")</f>
        <v>Frederic</v>
      </c>
      <c r="E158" s="49" t="str">
        <f ca="1">IFERROR(__xludf.DUMMYFUNCTION("""COMPUTED_VALUE"""),"06680119")</f>
        <v>06680119</v>
      </c>
      <c r="F158" s="48" t="str">
        <f ca="1">IFERROR(__xludf.DUMMYFUNCTION("""COMPUTED_VALUE"""),"COLMAR C.C.C. T.T.")</f>
        <v>COLMAR C.C.C. T.T.</v>
      </c>
      <c r="G158" s="50" t="str">
        <f ca="1">IFERROR(__xludf.DUMMYFUNCTION("""COMPUTED_VALUE"""),"CD68")</f>
        <v>CD68</v>
      </c>
      <c r="H158" s="50" t="str">
        <f ca="1">IFERROR(__xludf.DUMMYFUNCTION("""COMPUTED_VALUE"""),"actif")</f>
        <v>actif</v>
      </c>
    </row>
    <row r="159" spans="1:8" ht="12.75">
      <c r="A159" s="46">
        <f ca="1">IFERROR(__xludf.DUMMYFUNCTION("""COMPUTED_VALUE"""),147)</f>
        <v>147</v>
      </c>
      <c r="B159" s="47" t="str">
        <f ca="1">IFERROR(__xludf.DUMMYFUNCTION("""COMPUTED_VALUE"""),"674177")</f>
        <v>674177</v>
      </c>
      <c r="C159" s="48" t="str">
        <f ca="1">IFERROR(__xludf.DUMMYFUNCTION("""COMPUTED_VALUE"""),"GREMMEL")</f>
        <v>GREMMEL</v>
      </c>
      <c r="D159" s="48" t="str">
        <f ca="1">IFERROR(__xludf.DUMMYFUNCTION("""COMPUTED_VALUE"""),"Vincent")</f>
        <v>Vincent</v>
      </c>
      <c r="E159" s="49" t="str">
        <f ca="1">IFERROR(__xludf.DUMMYFUNCTION("""COMPUTED_VALUE"""),"06670149")</f>
        <v>06670149</v>
      </c>
      <c r="F159" s="48" t="str">
        <f ca="1">IFERROR(__xludf.DUMMYFUNCTION("""COMPUTED_VALUE"""),"DORLISHEIM SD")</f>
        <v>DORLISHEIM SD</v>
      </c>
      <c r="G159" s="50" t="str">
        <f ca="1">IFERROR(__xludf.DUMMYFUNCTION("""COMPUTED_VALUE"""),"CD67")</f>
        <v>CD67</v>
      </c>
      <c r="H159" s="50" t="str">
        <f ca="1">IFERROR(__xludf.DUMMYFUNCTION("""COMPUTED_VALUE"""),"actif")</f>
        <v>actif</v>
      </c>
    </row>
    <row r="160" spans="1:8" ht="12.75">
      <c r="A160" s="46">
        <f ca="1">IFERROR(__xludf.DUMMYFUNCTION("""COMPUTED_VALUE"""),148)</f>
        <v>148</v>
      </c>
      <c r="B160" s="47" t="str">
        <f ca="1">IFERROR(__xludf.DUMMYFUNCTION("""COMPUTED_VALUE"""),"6811209")</f>
        <v>6811209</v>
      </c>
      <c r="C160" s="48" t="str">
        <f ca="1">IFERROR(__xludf.DUMMYFUNCTION("""COMPUTED_VALUE"""),"GRIFASI")</f>
        <v>GRIFASI</v>
      </c>
      <c r="D160" s="48" t="str">
        <f ca="1">IFERROR(__xludf.DUMMYFUNCTION("""COMPUTED_VALUE"""),"Fabio")</f>
        <v>Fabio</v>
      </c>
      <c r="E160" s="49" t="str">
        <f ca="1">IFERROR(__xludf.DUMMYFUNCTION("""COMPUTED_VALUE"""),"06880123")</f>
        <v>06880123</v>
      </c>
      <c r="F160" s="48" t="str">
        <f ca="1">IFERROR(__xludf.DUMMYFUNCTION("""COMPUTED_VALUE"""),"ETIVAL ASRTT")</f>
        <v>ETIVAL ASRTT</v>
      </c>
      <c r="G160" s="50" t="str">
        <f ca="1">IFERROR(__xludf.DUMMYFUNCTION("""COMPUTED_VALUE"""),"CD88")</f>
        <v>CD88</v>
      </c>
      <c r="H160" s="50" t="str">
        <f ca="1">IFERROR(__xludf.DUMMYFUNCTION("""COMPUTED_VALUE"""),"actif")</f>
        <v>actif</v>
      </c>
    </row>
    <row r="161" spans="1:8" ht="12.75">
      <c r="A161" s="46">
        <f ca="1">IFERROR(__xludf.DUMMYFUNCTION("""COMPUTED_VALUE"""),149)</f>
        <v>149</v>
      </c>
      <c r="B161" s="47" t="str">
        <f ca="1">IFERROR(__xludf.DUMMYFUNCTION("""COMPUTED_VALUE"""),"8818161")</f>
        <v>8818161</v>
      </c>
      <c r="C161" s="48" t="str">
        <f ca="1">IFERROR(__xludf.DUMMYFUNCTION("""COMPUTED_VALUE"""),"GROSSI")</f>
        <v>GROSSI</v>
      </c>
      <c r="D161" s="48" t="str">
        <f ca="1">IFERROR(__xludf.DUMMYFUNCTION("""COMPUTED_VALUE"""),"Raphael")</f>
        <v>Raphael</v>
      </c>
      <c r="E161" s="49" t="str">
        <f ca="1">IFERROR(__xludf.DUMMYFUNCTION("""COMPUTED_VALUE"""),"06880010")</f>
        <v>06880010</v>
      </c>
      <c r="F161" s="48" t="str">
        <f ca="1">IFERROR(__xludf.DUMMYFUNCTION("""COMPUTED_VALUE"""),"SAINT DIE SRDTT")</f>
        <v>SAINT DIE SRDTT</v>
      </c>
      <c r="G161" s="50" t="str">
        <f ca="1">IFERROR(__xludf.DUMMYFUNCTION("""COMPUTED_VALUE"""),"CD88")</f>
        <v>CD88</v>
      </c>
      <c r="H161" s="50" t="str">
        <f ca="1">IFERROR(__xludf.DUMMYFUNCTION("""COMPUTED_VALUE"""),"actif")</f>
        <v>actif</v>
      </c>
    </row>
    <row r="162" spans="1:8" ht="12.75">
      <c r="A162" s="46">
        <f ca="1">IFERROR(__xludf.DUMMYFUNCTION("""COMPUTED_VALUE"""),150)</f>
        <v>150</v>
      </c>
      <c r="B162" s="47" t="str">
        <f ca="1">IFERROR(__xludf.DUMMYFUNCTION("""COMPUTED_VALUE"""),"5431896")</f>
        <v>5431896</v>
      </c>
      <c r="C162" s="48" t="str">
        <f ca="1">IFERROR(__xludf.DUMMYFUNCTION("""COMPUTED_VALUE"""),"GUILLAUME")</f>
        <v>GUILLAUME</v>
      </c>
      <c r="D162" s="48" t="str">
        <f ca="1">IFERROR(__xludf.DUMMYFUNCTION("""COMPUTED_VALUE"""),"Lucio")</f>
        <v>Lucio</v>
      </c>
      <c r="E162" s="49" t="str">
        <f ca="1">IFERROR(__xludf.DUMMYFUNCTION("""COMPUTED_VALUE"""),"06540010")</f>
        <v>06540010</v>
      </c>
      <c r="F162" s="48" t="str">
        <f ca="1">IFERROR(__xludf.DUMMYFUNCTION("""COMPUTED_VALUE"""),"FOUG C.P.")</f>
        <v>FOUG C.P.</v>
      </c>
      <c r="G162" s="50" t="str">
        <f ca="1">IFERROR(__xludf.DUMMYFUNCTION("""COMPUTED_VALUE"""),"CD54")</f>
        <v>CD54</v>
      </c>
      <c r="H162" s="50" t="str">
        <f ca="1">IFERROR(__xludf.DUMMYFUNCTION("""COMPUTED_VALUE"""),"actif")</f>
        <v>actif</v>
      </c>
    </row>
    <row r="163" spans="1:8" ht="12.75">
      <c r="A163" s="46">
        <f ca="1">IFERROR(__xludf.DUMMYFUNCTION("""COMPUTED_VALUE"""),151)</f>
        <v>151</v>
      </c>
      <c r="B163" s="47" t="str">
        <f ca="1">IFERROR(__xludf.DUMMYFUNCTION("""COMPUTED_VALUE"""),"5428111")</f>
        <v>5428111</v>
      </c>
      <c r="C163" s="48" t="str">
        <f ca="1">IFERROR(__xludf.DUMMYFUNCTION("""COMPUTED_VALUE"""),"GUILLEMIN")</f>
        <v>GUILLEMIN</v>
      </c>
      <c r="D163" s="48" t="str">
        <f ca="1">IFERROR(__xludf.DUMMYFUNCTION("""COMPUTED_VALUE"""),"Clemence")</f>
        <v>Clemence</v>
      </c>
      <c r="E163" s="49" t="str">
        <f ca="1">IFERROR(__xludf.DUMMYFUNCTION("""COMPUTED_VALUE"""),"06540128")</f>
        <v>06540128</v>
      </c>
      <c r="F163" s="48" t="str">
        <f ca="1">IFERROR(__xludf.DUMMYFUNCTION("""COMPUTED_VALUE"""),"PONT A MOUSSON A.S.T.T.")</f>
        <v>PONT A MOUSSON A.S.T.T.</v>
      </c>
      <c r="G163" s="50" t="str">
        <f ca="1">IFERROR(__xludf.DUMMYFUNCTION("""COMPUTED_VALUE"""),"CD54")</f>
        <v>CD54</v>
      </c>
      <c r="H163" s="50" t="str">
        <f ca="1">IFERROR(__xludf.DUMMYFUNCTION("""COMPUTED_VALUE"""),"actif")</f>
        <v>actif</v>
      </c>
    </row>
    <row r="164" spans="1:8" ht="12.75">
      <c r="A164" s="46">
        <f ca="1">IFERROR(__xludf.DUMMYFUNCTION("""COMPUTED_VALUE"""),152)</f>
        <v>152</v>
      </c>
      <c r="B164" s="47" t="str">
        <f ca="1">IFERROR(__xludf.DUMMYFUNCTION("""COMPUTED_VALUE"""),"5428583")</f>
        <v>5428583</v>
      </c>
      <c r="C164" s="48" t="str">
        <f ca="1">IFERROR(__xludf.DUMMYFUNCTION("""COMPUTED_VALUE"""),"GUILLERAY")</f>
        <v>GUILLERAY</v>
      </c>
      <c r="D164" s="48" t="str">
        <f ca="1">IFERROR(__xludf.DUMMYFUNCTION("""COMPUTED_VALUE"""),"Thomas")</f>
        <v>Thomas</v>
      </c>
      <c r="E164" s="49" t="str">
        <f ca="1">IFERROR(__xludf.DUMMYFUNCTION("""COMPUTED_VALUE"""),"06540021")</f>
        <v>06540021</v>
      </c>
      <c r="F164" s="48" t="str">
        <f ca="1">IFERROR(__xludf.DUMMYFUNCTION("""COMPUTED_VALUE"""),"LUNEVILLE A.L.T.T.")</f>
        <v>LUNEVILLE A.L.T.T.</v>
      </c>
      <c r="G164" s="50" t="str">
        <f ca="1">IFERROR(__xludf.DUMMYFUNCTION("""COMPUTED_VALUE"""),"CD54")</f>
        <v>CD54</v>
      </c>
      <c r="H164" s="50" t="str">
        <f ca="1">IFERROR(__xludf.DUMMYFUNCTION("""COMPUTED_VALUE"""),"actif")</f>
        <v>actif</v>
      </c>
    </row>
    <row r="165" spans="1:8" ht="12.75">
      <c r="A165" s="46">
        <f ca="1">IFERROR(__xludf.DUMMYFUNCTION("""COMPUTED_VALUE"""),153)</f>
        <v>153</v>
      </c>
      <c r="B165" s="47" t="str">
        <f ca="1">IFERROR(__xludf.DUMMYFUNCTION("""COMPUTED_VALUE"""),"8818900")</f>
        <v>8818900</v>
      </c>
      <c r="C165" s="48" t="str">
        <f ca="1">IFERROR(__xludf.DUMMYFUNCTION("""COMPUTED_VALUE"""),"GULLY")</f>
        <v>GULLY</v>
      </c>
      <c r="D165" s="48" t="str">
        <f ca="1">IFERROR(__xludf.DUMMYFUNCTION("""COMPUTED_VALUE"""),"Gautier")</f>
        <v>Gautier</v>
      </c>
      <c r="E165" s="49" t="str">
        <f ca="1">IFERROR(__xludf.DUMMYFUNCTION("""COMPUTED_VALUE"""),"06880123")</f>
        <v>06880123</v>
      </c>
      <c r="F165" s="48" t="str">
        <f ca="1">IFERROR(__xludf.DUMMYFUNCTION("""COMPUTED_VALUE"""),"ETIVAL ASRTT")</f>
        <v>ETIVAL ASRTT</v>
      </c>
      <c r="G165" s="50" t="str">
        <f ca="1">IFERROR(__xludf.DUMMYFUNCTION("""COMPUTED_VALUE"""),"CD88")</f>
        <v>CD88</v>
      </c>
      <c r="H165" s="50" t="str">
        <f ca="1">IFERROR(__xludf.DUMMYFUNCTION("""COMPUTED_VALUE"""),"actif")</f>
        <v>actif</v>
      </c>
    </row>
    <row r="166" spans="1:8" ht="12.75">
      <c r="A166" s="46">
        <f ca="1">IFERROR(__xludf.DUMMYFUNCTION("""COMPUTED_VALUE"""),154)</f>
        <v>154</v>
      </c>
      <c r="B166" s="47" t="str">
        <f ca="1">IFERROR(__xludf.DUMMYFUNCTION("""COMPUTED_VALUE"""),"685736")</f>
        <v>685736</v>
      </c>
      <c r="C166" s="48" t="str">
        <f ca="1">IFERROR(__xludf.DUMMYFUNCTION("""COMPUTED_VALUE"""),"GWINNER")</f>
        <v>GWINNER</v>
      </c>
      <c r="D166" s="48" t="str">
        <f ca="1">IFERROR(__xludf.DUMMYFUNCTION("""COMPUTED_VALUE"""),"Jean-Francois")</f>
        <v>Jean-Francois</v>
      </c>
      <c r="E166" s="49" t="str">
        <f ca="1">IFERROR(__xludf.DUMMYFUNCTION("""COMPUTED_VALUE"""),"06680091")</f>
        <v>06680091</v>
      </c>
      <c r="F166" s="48" t="str">
        <f ca="1">IFERROR(__xludf.DUMMYFUNCTION("""COMPUTED_VALUE"""),"ILLZACH TTSJB")</f>
        <v>ILLZACH TTSJB</v>
      </c>
      <c r="G166" s="50" t="str">
        <f ca="1">IFERROR(__xludf.DUMMYFUNCTION("""COMPUTED_VALUE"""),"CD68")</f>
        <v>CD68</v>
      </c>
      <c r="H166" s="50" t="str">
        <f ca="1">IFERROR(__xludf.DUMMYFUNCTION("""COMPUTED_VALUE"""),"actif")</f>
        <v>actif</v>
      </c>
    </row>
    <row r="167" spans="1:8" ht="12.75">
      <c r="A167" s="46">
        <f ca="1">IFERROR(__xludf.DUMMYFUNCTION("""COMPUTED_VALUE"""),155)</f>
        <v>155</v>
      </c>
      <c r="B167" s="47" t="str">
        <f ca="1">IFERROR(__xludf.DUMMYFUNCTION("""COMPUTED_VALUE"""),"6811665")</f>
        <v>6811665</v>
      </c>
      <c r="C167" s="48" t="str">
        <f ca="1">IFERROR(__xludf.DUMMYFUNCTION("""COMPUTED_VALUE"""),"HANSER")</f>
        <v>HANSER</v>
      </c>
      <c r="D167" s="48" t="str">
        <f ca="1">IFERROR(__xludf.DUMMYFUNCTION("""COMPUTED_VALUE"""),"Thomas")</f>
        <v>Thomas</v>
      </c>
      <c r="E167" s="49" t="str">
        <f ca="1">IFERROR(__xludf.DUMMYFUNCTION("""COMPUTED_VALUE"""),"06680091")</f>
        <v>06680091</v>
      </c>
      <c r="F167" s="48" t="str">
        <f ca="1">IFERROR(__xludf.DUMMYFUNCTION("""COMPUTED_VALUE"""),"ILLZACH TTSJB")</f>
        <v>ILLZACH TTSJB</v>
      </c>
      <c r="G167" s="50" t="str">
        <f ca="1">IFERROR(__xludf.DUMMYFUNCTION("""COMPUTED_VALUE"""),"CD68")</f>
        <v>CD68</v>
      </c>
      <c r="H167" s="50" t="str">
        <f ca="1">IFERROR(__xludf.DUMMYFUNCTION("""COMPUTED_VALUE"""),"actif")</f>
        <v>actif</v>
      </c>
    </row>
    <row r="168" spans="1:8" ht="12.75">
      <c r="A168" s="46">
        <f ca="1">IFERROR(__xludf.DUMMYFUNCTION("""COMPUTED_VALUE"""),156)</f>
        <v>156</v>
      </c>
      <c r="B168" s="47" t="str">
        <f ca="1">IFERROR(__xludf.DUMMYFUNCTION("""COMPUTED_VALUE"""),"5722123")</f>
        <v>5722123</v>
      </c>
      <c r="C168" s="48" t="str">
        <f ca="1">IFERROR(__xludf.DUMMYFUNCTION("""COMPUTED_VALUE"""),"HELCK")</f>
        <v>HELCK</v>
      </c>
      <c r="D168" s="48" t="str">
        <f ca="1">IFERROR(__xludf.DUMMYFUNCTION("""COMPUTED_VALUE"""),"Sarah")</f>
        <v>Sarah</v>
      </c>
      <c r="E168" s="49" t="str">
        <f ca="1">IFERROR(__xludf.DUMMYFUNCTION("""COMPUTED_VALUE"""),"06570102")</f>
        <v>06570102</v>
      </c>
      <c r="F168" s="48" t="str">
        <f ca="1">IFERROR(__xludf.DUMMYFUNCTION("""COMPUTED_VALUE"""),"BASSE HAM  BHTT")</f>
        <v>BASSE HAM  BHTT</v>
      </c>
      <c r="G168" s="50" t="str">
        <f ca="1">IFERROR(__xludf.DUMMYFUNCTION("""COMPUTED_VALUE"""),"CD57")</f>
        <v>CD57</v>
      </c>
      <c r="H168" s="50" t="str">
        <f ca="1">IFERROR(__xludf.DUMMYFUNCTION("""COMPUTED_VALUE"""),"actif")</f>
        <v>actif</v>
      </c>
    </row>
    <row r="169" spans="1:8" ht="12.75">
      <c r="A169" s="46">
        <f ca="1">IFERROR(__xludf.DUMMYFUNCTION("""COMPUTED_VALUE"""),157)</f>
        <v>157</v>
      </c>
      <c r="B169" s="47" t="str">
        <f ca="1">IFERROR(__xludf.DUMMYFUNCTION("""COMPUTED_VALUE"""),"672630")</f>
        <v>672630</v>
      </c>
      <c r="C169" s="48" t="str">
        <f ca="1">IFERROR(__xludf.DUMMYFUNCTION("""COMPUTED_VALUE"""),"HELUIN")</f>
        <v>HELUIN</v>
      </c>
      <c r="D169" s="48" t="str">
        <f ca="1">IFERROR(__xludf.DUMMYFUNCTION("""COMPUTED_VALUE"""),"Pascal")</f>
        <v>Pascal</v>
      </c>
      <c r="E169" s="49" t="str">
        <f ca="1">IFERROR(__xludf.DUMMYFUNCTION("""COMPUTED_VALUE"""),"06670272")</f>
        <v>06670272</v>
      </c>
      <c r="F169" s="48" t="str">
        <f ca="1">IFERROR(__xludf.DUMMYFUNCTION("""COMPUTED_VALUE"""),"SCHILTIGHEIM Tennis de Table")</f>
        <v>SCHILTIGHEIM Tennis de Table</v>
      </c>
      <c r="G169" s="50" t="str">
        <f ca="1">IFERROR(__xludf.DUMMYFUNCTION("""COMPUTED_VALUE"""),"CD67")</f>
        <v>CD67</v>
      </c>
      <c r="H169" s="50" t="str">
        <f ca="1">IFERROR(__xludf.DUMMYFUNCTION("""COMPUTED_VALUE"""),"actif")</f>
        <v>actif</v>
      </c>
    </row>
    <row r="170" spans="1:8" ht="12.75">
      <c r="A170" s="46">
        <f ca="1">IFERROR(__xludf.DUMMYFUNCTION("""COMPUTED_VALUE"""),158)</f>
        <v>158</v>
      </c>
      <c r="B170" s="47" t="str">
        <f ca="1">IFERROR(__xludf.DUMMYFUNCTION("""COMPUTED_VALUE"""),"675389")</f>
        <v>675389</v>
      </c>
      <c r="C170" s="48" t="str">
        <f ca="1">IFERROR(__xludf.DUMMYFUNCTION("""COMPUTED_VALUE"""),"HEMMERLE")</f>
        <v>HEMMERLE</v>
      </c>
      <c r="D170" s="48" t="str">
        <f ca="1">IFERROR(__xludf.DUMMYFUNCTION("""COMPUTED_VALUE"""),"Francis")</f>
        <v>Francis</v>
      </c>
      <c r="E170" s="49" t="str">
        <f ca="1">IFERROR(__xludf.DUMMYFUNCTION("""COMPUTED_VALUE"""),"06670279")</f>
        <v>06670279</v>
      </c>
      <c r="F170" s="48" t="str">
        <f ca="1">IFERROR(__xludf.DUMMYFUNCTION("""COMPUTED_VALUE"""),"Etoile Pongiste de SCHLEITHAL ")</f>
        <v xml:space="preserve">Etoile Pongiste de SCHLEITHAL </v>
      </c>
      <c r="G170" s="50" t="str">
        <f ca="1">IFERROR(__xludf.DUMMYFUNCTION("""COMPUTED_VALUE"""),"CD67")</f>
        <v>CD67</v>
      </c>
      <c r="H170" s="50" t="str">
        <f ca="1">IFERROR(__xludf.DUMMYFUNCTION("""COMPUTED_VALUE"""),"actif")</f>
        <v>actif</v>
      </c>
    </row>
    <row r="171" spans="1:8" ht="12.75">
      <c r="A171" s="46">
        <f ca="1">IFERROR(__xludf.DUMMYFUNCTION("""COMPUTED_VALUE"""),159)</f>
        <v>159</v>
      </c>
      <c r="B171" s="47" t="str">
        <f ca="1">IFERROR(__xludf.DUMMYFUNCTION("""COMPUTED_VALUE"""),"5435128")</f>
        <v>5435128</v>
      </c>
      <c r="C171" s="48" t="str">
        <f ca="1">IFERROR(__xludf.DUMMYFUNCTION("""COMPUTED_VALUE"""),"HENNER")</f>
        <v>HENNER</v>
      </c>
      <c r="D171" s="48" t="str">
        <f ca="1">IFERROR(__xludf.DUMMYFUNCTION("""COMPUTED_VALUE"""),"Léo")</f>
        <v>Léo</v>
      </c>
      <c r="E171" s="49" t="str">
        <f ca="1">IFERROR(__xludf.DUMMYFUNCTION("""COMPUTED_VALUE"""),"06540040")</f>
        <v>06540040</v>
      </c>
      <c r="F171" s="48" t="str">
        <f ca="1">IFERROR(__xludf.DUMMYFUNCTION("""COMPUTED_VALUE"""),"VILLERS LES NANCY C.O.S.")</f>
        <v>VILLERS LES NANCY C.O.S.</v>
      </c>
      <c r="G171" s="50" t="str">
        <f ca="1">IFERROR(__xludf.DUMMYFUNCTION("""COMPUTED_VALUE"""),"CD54")</f>
        <v>CD54</v>
      </c>
      <c r="H171" s="50" t="str">
        <f ca="1">IFERROR(__xludf.DUMMYFUNCTION("""COMPUTED_VALUE"""),"actif")</f>
        <v>actif</v>
      </c>
    </row>
    <row r="172" spans="1:8" ht="12.75">
      <c r="A172" s="46">
        <f ca="1">IFERROR(__xludf.DUMMYFUNCTION("""COMPUTED_VALUE"""),160)</f>
        <v>160</v>
      </c>
      <c r="B172" s="47" t="str">
        <f ca="1">IFERROR(__xludf.DUMMYFUNCTION("""COMPUTED_VALUE"""),"5420882")</f>
        <v>5420882</v>
      </c>
      <c r="C172" s="48" t="str">
        <f ca="1">IFERROR(__xludf.DUMMYFUNCTION("""COMPUTED_VALUE"""),"HENRY")</f>
        <v>HENRY</v>
      </c>
      <c r="D172" s="48" t="str">
        <f ca="1">IFERROR(__xludf.DUMMYFUNCTION("""COMPUTED_VALUE"""),"Kevin")</f>
        <v>Kevin</v>
      </c>
      <c r="E172" s="49" t="str">
        <f ca="1">IFERROR(__xludf.DUMMYFUNCTION("""COMPUTED_VALUE"""),"06540021")</f>
        <v>06540021</v>
      </c>
      <c r="F172" s="48" t="str">
        <f ca="1">IFERROR(__xludf.DUMMYFUNCTION("""COMPUTED_VALUE"""),"LUNEVILLE A.L.T.T.")</f>
        <v>LUNEVILLE A.L.T.T.</v>
      </c>
      <c r="G172" s="50" t="str">
        <f ca="1">IFERROR(__xludf.DUMMYFUNCTION("""COMPUTED_VALUE"""),"CD54")</f>
        <v>CD54</v>
      </c>
      <c r="H172" s="50" t="str">
        <f ca="1">IFERROR(__xludf.DUMMYFUNCTION("""COMPUTED_VALUE"""),"actif")</f>
        <v>actif</v>
      </c>
    </row>
    <row r="173" spans="1:8" ht="12.75">
      <c r="A173" s="46">
        <f ca="1">IFERROR(__xludf.DUMMYFUNCTION("""COMPUTED_VALUE"""),161)</f>
        <v>161</v>
      </c>
      <c r="B173" s="47" t="str">
        <f ca="1">IFERROR(__xludf.DUMMYFUNCTION("""COMPUTED_VALUE"""),"6715304")</f>
        <v>6715304</v>
      </c>
      <c r="C173" s="48" t="str">
        <f ca="1">IFERROR(__xludf.DUMMYFUNCTION("""COMPUTED_VALUE"""),"HETZEL")</f>
        <v>HETZEL</v>
      </c>
      <c r="D173" s="48" t="str">
        <f ca="1">IFERROR(__xludf.DUMMYFUNCTION("""COMPUTED_VALUE"""),"Luc")</f>
        <v>Luc</v>
      </c>
      <c r="E173" s="49" t="str">
        <f ca="1">IFERROR(__xludf.DUMMYFUNCTION("""COMPUTED_VALUE"""),"06670194")</f>
        <v>06670194</v>
      </c>
      <c r="F173" s="48" t="str">
        <f ca="1">IFERROR(__xludf.DUMMYFUNCTION("""COMPUTED_VALUE"""),"GERSTHEIM CSD")</f>
        <v>GERSTHEIM CSD</v>
      </c>
      <c r="G173" s="50" t="str">
        <f ca="1">IFERROR(__xludf.DUMMYFUNCTION("""COMPUTED_VALUE"""),"CD67")</f>
        <v>CD67</v>
      </c>
      <c r="H173" s="50" t="str">
        <f ca="1">IFERROR(__xludf.DUMMYFUNCTION("""COMPUTED_VALUE"""),"actif")</f>
        <v>actif</v>
      </c>
    </row>
    <row r="174" spans="1:8" ht="12.75">
      <c r="A174" s="46">
        <f ca="1">IFERROR(__xludf.DUMMYFUNCTION("""COMPUTED_VALUE"""),162)</f>
        <v>162</v>
      </c>
      <c r="B174" s="47" t="str">
        <f ca="1">IFERROR(__xludf.DUMMYFUNCTION("""COMPUTED_VALUE"""),"6724295")</f>
        <v>6724295</v>
      </c>
      <c r="C174" s="48" t="str">
        <f ca="1">IFERROR(__xludf.DUMMYFUNCTION("""COMPUTED_VALUE"""),"HEYWANG")</f>
        <v>HEYWANG</v>
      </c>
      <c r="D174" s="48" t="str">
        <f ca="1">IFERROR(__xludf.DUMMYFUNCTION("""COMPUTED_VALUE"""),"Christophe")</f>
        <v>Christophe</v>
      </c>
      <c r="E174" s="49" t="str">
        <f ca="1">IFERROR(__xludf.DUMMYFUNCTION("""COMPUTED_VALUE"""),"06670248")</f>
        <v>06670248</v>
      </c>
      <c r="F174" s="48" t="str">
        <f ca="1">IFERROR(__xludf.DUMMYFUNCTION("""COMPUTED_VALUE"""),"MARMOUTIER CSE")</f>
        <v>MARMOUTIER CSE</v>
      </c>
      <c r="G174" s="50" t="str">
        <f ca="1">IFERROR(__xludf.DUMMYFUNCTION("""COMPUTED_VALUE"""),"CD67")</f>
        <v>CD67</v>
      </c>
      <c r="H174" s="50" t="str">
        <f ca="1">IFERROR(__xludf.DUMMYFUNCTION("""COMPUTED_VALUE"""),"actif")</f>
        <v>actif</v>
      </c>
    </row>
    <row r="175" spans="1:8" ht="12.75">
      <c r="A175" s="46">
        <f ca="1">IFERROR(__xludf.DUMMYFUNCTION("""COMPUTED_VALUE"""),163)</f>
        <v>163</v>
      </c>
      <c r="B175" s="47" t="str">
        <f ca="1">IFERROR(__xludf.DUMMYFUNCTION("""COMPUTED_VALUE"""),"5435880")</f>
        <v>5435880</v>
      </c>
      <c r="C175" s="48" t="str">
        <f ca="1">IFERROR(__xludf.DUMMYFUNCTION("""COMPUTED_VALUE"""),"HIMORA")</f>
        <v>HIMORA</v>
      </c>
      <c r="D175" s="48" t="str">
        <f ca="1">IFERROR(__xludf.DUMMYFUNCTION("""COMPUTED_VALUE"""),"Teo")</f>
        <v>Teo</v>
      </c>
      <c r="E175" s="49" t="str">
        <f ca="1">IFERROR(__xludf.DUMMYFUNCTION("""COMPUTED_VALUE"""),"06540128")</f>
        <v>06540128</v>
      </c>
      <c r="F175" s="48" t="str">
        <f ca="1">IFERROR(__xludf.DUMMYFUNCTION("""COMPUTED_VALUE"""),"PONT A MOUSSON A.S.T.T.")</f>
        <v>PONT A MOUSSON A.S.T.T.</v>
      </c>
      <c r="G175" s="50" t="str">
        <f ca="1">IFERROR(__xludf.DUMMYFUNCTION("""COMPUTED_VALUE"""),"CD54")</f>
        <v>CD54</v>
      </c>
      <c r="H175" s="50" t="str">
        <f ca="1">IFERROR(__xludf.DUMMYFUNCTION("""COMPUTED_VALUE"""),"actif")</f>
        <v>actif</v>
      </c>
    </row>
    <row r="176" spans="1:8" ht="12.75">
      <c r="A176" s="46">
        <f ca="1">IFERROR(__xludf.DUMMYFUNCTION("""COMPUTED_VALUE"""),164)</f>
        <v>164</v>
      </c>
      <c r="B176" s="47" t="str">
        <f ca="1">IFERROR(__xludf.DUMMYFUNCTION("""COMPUTED_VALUE"""),"5411764")</f>
        <v>5411764</v>
      </c>
      <c r="C176" s="48" t="str">
        <f ca="1">IFERROR(__xludf.DUMMYFUNCTION("""COMPUTED_VALUE"""),"HOMMAGE")</f>
        <v>HOMMAGE</v>
      </c>
      <c r="D176" s="48" t="str">
        <f ca="1">IFERROR(__xludf.DUMMYFUNCTION("""COMPUTED_VALUE"""),"Paul")</f>
        <v>Paul</v>
      </c>
      <c r="E176" s="49" t="str">
        <f ca="1">IFERROR(__xludf.DUMMYFUNCTION("""COMPUTED_VALUE"""),"06540034")</f>
        <v>06540034</v>
      </c>
      <c r="F176" s="48" t="str">
        <f ca="1">IFERROR(__xludf.DUMMYFUNCTION("""COMPUTED_VALUE"""),"SAINT MAX T.T.H.R.")</f>
        <v>SAINT MAX T.T.H.R.</v>
      </c>
      <c r="G176" s="50" t="str">
        <f ca="1">IFERROR(__xludf.DUMMYFUNCTION("""COMPUTED_VALUE"""),"CD54")</f>
        <v>CD54</v>
      </c>
      <c r="H176" s="50" t="str">
        <f ca="1">IFERROR(__xludf.DUMMYFUNCTION("""COMPUTED_VALUE"""),"actif")</f>
        <v>actif</v>
      </c>
    </row>
    <row r="177" spans="1:8" ht="12.75">
      <c r="A177" s="46">
        <f ca="1">IFERROR(__xludf.DUMMYFUNCTION("""COMPUTED_VALUE"""),165)</f>
        <v>165</v>
      </c>
      <c r="B177" s="47" t="str">
        <f ca="1">IFERROR(__xludf.DUMMYFUNCTION("""COMPUTED_VALUE"""),"557429")</f>
        <v>557429</v>
      </c>
      <c r="C177" s="48" t="str">
        <f ca="1">IFERROR(__xludf.DUMMYFUNCTION("""COMPUTED_VALUE"""),"HOUBAUT")</f>
        <v>HOUBAUT</v>
      </c>
      <c r="D177" s="48" t="str">
        <f ca="1">IFERROR(__xludf.DUMMYFUNCTION("""COMPUTED_VALUE"""),"Alan")</f>
        <v>Alan</v>
      </c>
      <c r="E177" s="49" t="str">
        <f ca="1">IFERROR(__xludf.DUMMYFUNCTION("""COMPUTED_VALUE"""),"06540010")</f>
        <v>06540010</v>
      </c>
      <c r="F177" s="48" t="str">
        <f ca="1">IFERROR(__xludf.DUMMYFUNCTION("""COMPUTED_VALUE"""),"FOUG C.P.")</f>
        <v>FOUG C.P.</v>
      </c>
      <c r="G177" s="50" t="str">
        <f ca="1">IFERROR(__xludf.DUMMYFUNCTION("""COMPUTED_VALUE"""),"CD54")</f>
        <v>CD54</v>
      </c>
      <c r="H177" s="50" t="str">
        <f ca="1">IFERROR(__xludf.DUMMYFUNCTION("""COMPUTED_VALUE"""),"actif")</f>
        <v>actif</v>
      </c>
    </row>
    <row r="178" spans="1:8" ht="12.75">
      <c r="A178" s="46">
        <f ca="1">IFERROR(__xludf.DUMMYFUNCTION("""COMPUTED_VALUE"""),166)</f>
        <v>166</v>
      </c>
      <c r="B178" s="47" t="str">
        <f ca="1">IFERROR(__xludf.DUMMYFUNCTION("""COMPUTED_VALUE"""),"553819")</f>
        <v>553819</v>
      </c>
      <c r="C178" s="48" t="str">
        <f ca="1">IFERROR(__xludf.DUMMYFUNCTION("""COMPUTED_VALUE"""),"HUMBERT")</f>
        <v>HUMBERT</v>
      </c>
      <c r="D178" s="48" t="str">
        <f ca="1">IFERROR(__xludf.DUMMYFUNCTION("""COMPUTED_VALUE"""),"Charlie")</f>
        <v>Charlie</v>
      </c>
      <c r="E178" s="49" t="str">
        <f ca="1">IFERROR(__xludf.DUMMYFUNCTION("""COMPUTED_VALUE"""),"06550020")</f>
        <v>06550020</v>
      </c>
      <c r="F178" s="48" t="str">
        <f ca="1">IFERROR(__xludf.DUMMYFUNCTION("""COMPUTED_VALUE"""),"FAINS LES SOURCES AEL")</f>
        <v>FAINS LES SOURCES AEL</v>
      </c>
      <c r="G178" s="50" t="str">
        <f ca="1">IFERROR(__xludf.DUMMYFUNCTION("""COMPUTED_VALUE"""),"CD55")</f>
        <v>CD55</v>
      </c>
      <c r="H178" s="50" t="str">
        <f ca="1">IFERROR(__xludf.DUMMYFUNCTION("""COMPUTED_VALUE"""),"actif")</f>
        <v>actif</v>
      </c>
    </row>
    <row r="179" spans="1:8" ht="12.75">
      <c r="A179" s="46">
        <f ca="1">IFERROR(__xludf.DUMMYFUNCTION("""COMPUTED_VALUE"""),167)</f>
        <v>167</v>
      </c>
      <c r="B179" s="47" t="str">
        <f ca="1">IFERROR(__xludf.DUMMYFUNCTION("""COMPUTED_VALUE"""),"8817701")</f>
        <v>8817701</v>
      </c>
      <c r="C179" s="48" t="str">
        <f ca="1">IFERROR(__xludf.DUMMYFUNCTION("""COMPUTED_VALUE"""),"HUMBERT")</f>
        <v>HUMBERT</v>
      </c>
      <c r="D179" s="48" t="str">
        <f ca="1">IFERROR(__xludf.DUMMYFUNCTION("""COMPUTED_VALUE"""),"Nathan")</f>
        <v>Nathan</v>
      </c>
      <c r="E179" s="49" t="str">
        <f ca="1">IFERROR(__xludf.DUMMYFUNCTION("""COMPUTED_VALUE"""),"06880123")</f>
        <v>06880123</v>
      </c>
      <c r="F179" s="48" t="str">
        <f ca="1">IFERROR(__xludf.DUMMYFUNCTION("""COMPUTED_VALUE"""),"ETIVAL ASRTT")</f>
        <v>ETIVAL ASRTT</v>
      </c>
      <c r="G179" s="50" t="str">
        <f ca="1">IFERROR(__xludf.DUMMYFUNCTION("""COMPUTED_VALUE"""),"CD88")</f>
        <v>CD88</v>
      </c>
      <c r="H179" s="50" t="str">
        <f ca="1">IFERROR(__xludf.DUMMYFUNCTION("""COMPUTED_VALUE"""),"actif")</f>
        <v>actif</v>
      </c>
    </row>
    <row r="180" spans="1:8" ht="12.75">
      <c r="A180" s="46">
        <f ca="1">IFERROR(__xludf.DUMMYFUNCTION("""COMPUTED_VALUE"""),168)</f>
        <v>168</v>
      </c>
      <c r="B180" s="47" t="str">
        <f ca="1">IFERROR(__xludf.DUMMYFUNCTION("""COMPUTED_VALUE"""),"888352")</f>
        <v>888352</v>
      </c>
      <c r="C180" s="48" t="str">
        <f ca="1">IFERROR(__xludf.DUMMYFUNCTION("""COMPUTED_VALUE"""),"HUMBERT")</f>
        <v>HUMBERT</v>
      </c>
      <c r="D180" s="48" t="str">
        <f ca="1">IFERROR(__xludf.DUMMYFUNCTION("""COMPUTED_VALUE"""),"Alice")</f>
        <v>Alice</v>
      </c>
      <c r="E180" s="49" t="str">
        <f ca="1">IFERROR(__xludf.DUMMYFUNCTION("""COMPUTED_VALUE"""),"06880123")</f>
        <v>06880123</v>
      </c>
      <c r="F180" s="48" t="str">
        <f ca="1">IFERROR(__xludf.DUMMYFUNCTION("""COMPUTED_VALUE"""),"ETIVAL ASRTT")</f>
        <v>ETIVAL ASRTT</v>
      </c>
      <c r="G180" s="50" t="str">
        <f ca="1">IFERROR(__xludf.DUMMYFUNCTION("""COMPUTED_VALUE"""),"CD88")</f>
        <v>CD88</v>
      </c>
      <c r="H180" s="50" t="str">
        <f ca="1">IFERROR(__xludf.DUMMYFUNCTION("""COMPUTED_VALUE"""),"actif")</f>
        <v>actif</v>
      </c>
    </row>
    <row r="181" spans="1:8" ht="12.75">
      <c r="A181" s="46">
        <f ca="1">IFERROR(__xludf.DUMMYFUNCTION("""COMPUTED_VALUE"""),169)</f>
        <v>169</v>
      </c>
      <c r="B181" s="47" t="str">
        <f ca="1">IFERROR(__xludf.DUMMYFUNCTION("""COMPUTED_VALUE"""),"1313956")</f>
        <v>1313956</v>
      </c>
      <c r="C181" s="48" t="str">
        <f ca="1">IFERROR(__xludf.DUMMYFUNCTION("""COMPUTED_VALUE"""),"ILIEV")</f>
        <v>ILIEV</v>
      </c>
      <c r="D181" s="48" t="str">
        <f ca="1">IFERROR(__xludf.DUMMYFUNCTION("""COMPUTED_VALUE"""),"Veselin")</f>
        <v>Veselin</v>
      </c>
      <c r="E181" s="49" t="str">
        <f ca="1">IFERROR(__xludf.DUMMYFUNCTION("""COMPUTED_VALUE"""),"06680105")</f>
        <v>06680105</v>
      </c>
      <c r="F181" s="48" t="str">
        <f ca="1">IFERROR(__xludf.DUMMYFUNCTION("""COMPUTED_VALUE"""),"MULHOUSE TENNIS DE TABLE")</f>
        <v>MULHOUSE TENNIS DE TABLE</v>
      </c>
      <c r="G181" s="50" t="str">
        <f ca="1">IFERROR(__xludf.DUMMYFUNCTION("""COMPUTED_VALUE"""),"CD68")</f>
        <v>CD68</v>
      </c>
      <c r="H181" s="50" t="str">
        <f ca="1">IFERROR(__xludf.DUMMYFUNCTION("""COMPUTED_VALUE"""),"actif")</f>
        <v>actif</v>
      </c>
    </row>
    <row r="182" spans="1:8" ht="12.75">
      <c r="A182" s="46">
        <f ca="1">IFERROR(__xludf.DUMMYFUNCTION("""COMPUTED_VALUE"""),170)</f>
        <v>170</v>
      </c>
      <c r="B182" s="47" t="str">
        <f ca="1">IFERROR(__xludf.DUMMYFUNCTION("""COMPUTED_VALUE"""),"6721896")</f>
        <v>6721896</v>
      </c>
      <c r="C182" s="48" t="str">
        <f ca="1">IFERROR(__xludf.DUMMYFUNCTION("""COMPUTED_VALUE"""),"ITOUA")</f>
        <v>ITOUA</v>
      </c>
      <c r="D182" s="48" t="str">
        <f ca="1">IFERROR(__xludf.DUMMYFUNCTION("""COMPUTED_VALUE"""),"Yoan")</f>
        <v>Yoan</v>
      </c>
      <c r="E182" s="49" t="str">
        <f ca="1">IFERROR(__xludf.DUMMYFUNCTION("""COMPUTED_VALUE"""),"06670270")</f>
        <v>06670270</v>
      </c>
      <c r="F182" s="48" t="str">
        <f ca="1">IFERROR(__xludf.DUMMYFUNCTION("""COMPUTED_VALUE"""),"STRASBOURG EUROMETROPOLE TT")</f>
        <v>STRASBOURG EUROMETROPOLE TT</v>
      </c>
      <c r="G182" s="50" t="str">
        <f ca="1">IFERROR(__xludf.DUMMYFUNCTION("""COMPUTED_VALUE"""),"CD67")</f>
        <v>CD67</v>
      </c>
      <c r="H182" s="50" t="str">
        <f ca="1">IFERROR(__xludf.DUMMYFUNCTION("""COMPUTED_VALUE"""),"actif")</f>
        <v>actif</v>
      </c>
    </row>
    <row r="183" spans="1:8" ht="12.75">
      <c r="A183" s="46">
        <f ca="1">IFERROR(__xludf.DUMMYFUNCTION("""COMPUTED_VALUE"""),171)</f>
        <v>171</v>
      </c>
      <c r="B183" s="47" t="str">
        <f ca="1">IFERROR(__xludf.DUMMYFUNCTION("""COMPUTED_VALUE"""),"5434665")</f>
        <v>5434665</v>
      </c>
      <c r="C183" s="48" t="str">
        <f ca="1">IFERROR(__xludf.DUMMYFUNCTION("""COMPUTED_VALUE"""),"JACHACZ")</f>
        <v>JACHACZ</v>
      </c>
      <c r="D183" s="48" t="str">
        <f ca="1">IFERROR(__xludf.DUMMYFUNCTION("""COMPUTED_VALUE"""),"Tom")</f>
        <v>Tom</v>
      </c>
      <c r="E183" s="49" t="str">
        <f ca="1">IFERROR(__xludf.DUMMYFUNCTION("""COMPUTED_VALUE"""),"06540010")</f>
        <v>06540010</v>
      </c>
      <c r="F183" s="48" t="str">
        <f ca="1">IFERROR(__xludf.DUMMYFUNCTION("""COMPUTED_VALUE"""),"FOUG C.P.")</f>
        <v>FOUG C.P.</v>
      </c>
      <c r="G183" s="50" t="str">
        <f ca="1">IFERROR(__xludf.DUMMYFUNCTION("""COMPUTED_VALUE"""),"CD54")</f>
        <v>CD54</v>
      </c>
      <c r="H183" s="50" t="str">
        <f ca="1">IFERROR(__xludf.DUMMYFUNCTION("""COMPUTED_VALUE"""),"actif")</f>
        <v>actif</v>
      </c>
    </row>
    <row r="184" spans="1:8" ht="12.75">
      <c r="A184" s="46">
        <f ca="1">IFERROR(__xludf.DUMMYFUNCTION("""COMPUTED_VALUE"""),172)</f>
        <v>172</v>
      </c>
      <c r="B184" s="47" t="str">
        <f ca="1">IFERROR(__xludf.DUMMYFUNCTION("""COMPUTED_VALUE"""),"677305")</f>
        <v>677305</v>
      </c>
      <c r="C184" s="48" t="str">
        <f ca="1">IFERROR(__xludf.DUMMYFUNCTION("""COMPUTED_VALUE"""),"JAEGER")</f>
        <v>JAEGER</v>
      </c>
      <c r="D184" s="48" t="str">
        <f ca="1">IFERROR(__xludf.DUMMYFUNCTION("""COMPUTED_VALUE"""),"Michel")</f>
        <v>Michel</v>
      </c>
      <c r="E184" s="49" t="str">
        <f ca="1">IFERROR(__xludf.DUMMYFUNCTION("""COMPUTED_VALUE"""),"06670216")</f>
        <v>06670216</v>
      </c>
      <c r="F184" s="48" t="str">
        <f ca="1">IFERROR(__xludf.DUMMYFUNCTION("""COMPUTED_VALUE"""),"HOERDT T.T.")</f>
        <v>HOERDT T.T.</v>
      </c>
      <c r="G184" s="50" t="str">
        <f ca="1">IFERROR(__xludf.DUMMYFUNCTION("""COMPUTED_VALUE"""),"CD67")</f>
        <v>CD67</v>
      </c>
      <c r="H184" s="50" t="str">
        <f ca="1">IFERROR(__xludf.DUMMYFUNCTION("""COMPUTED_VALUE"""),"actif")</f>
        <v>actif</v>
      </c>
    </row>
    <row r="185" spans="1:8" ht="12.75">
      <c r="A185" s="46">
        <f ca="1">IFERROR(__xludf.DUMMYFUNCTION("""COMPUTED_VALUE"""),173)</f>
        <v>173</v>
      </c>
      <c r="B185" s="47" t="str">
        <f ca="1">IFERROR(__xludf.DUMMYFUNCTION("""COMPUTED_VALUE"""),"5429508")</f>
        <v>5429508</v>
      </c>
      <c r="C185" s="48" t="str">
        <f ca="1">IFERROR(__xludf.DUMMYFUNCTION("""COMPUTED_VALUE"""),"JAEGER")</f>
        <v>JAEGER</v>
      </c>
      <c r="D185" s="48" t="str">
        <f ca="1">IFERROR(__xludf.DUMMYFUNCTION("""COMPUTED_VALUE"""),"Loick")</f>
        <v>Loick</v>
      </c>
      <c r="E185" s="49" t="str">
        <f ca="1">IFERROR(__xludf.DUMMYFUNCTION("""COMPUTED_VALUE"""),"06540088")</f>
        <v>06540088</v>
      </c>
      <c r="F185" s="48" t="str">
        <f ca="1">IFERROR(__xludf.DUMMYFUNCTION("""COMPUTED_VALUE"""),"CHANTEHEUX TT")</f>
        <v>CHANTEHEUX TT</v>
      </c>
      <c r="G185" s="50" t="str">
        <f ca="1">IFERROR(__xludf.DUMMYFUNCTION("""COMPUTED_VALUE"""),"CD54")</f>
        <v>CD54</v>
      </c>
      <c r="H185" s="50" t="str">
        <f ca="1">IFERROR(__xludf.DUMMYFUNCTION("""COMPUTED_VALUE"""),"actif")</f>
        <v>actif</v>
      </c>
    </row>
    <row r="186" spans="1:8" ht="12.75">
      <c r="A186" s="46">
        <f ca="1">IFERROR(__xludf.DUMMYFUNCTION("""COMPUTED_VALUE"""),174)</f>
        <v>174</v>
      </c>
      <c r="B186" s="47" t="str">
        <f ca="1">IFERROR(__xludf.DUMMYFUNCTION("""COMPUTED_VALUE"""),"523783")</f>
        <v>523783</v>
      </c>
      <c r="C186" s="48" t="str">
        <f ca="1">IFERROR(__xludf.DUMMYFUNCTION("""COMPUTED_VALUE"""),"JAY")</f>
        <v>JAY</v>
      </c>
      <c r="D186" s="48" t="str">
        <f ca="1">IFERROR(__xludf.DUMMYFUNCTION("""COMPUTED_VALUE"""),"Maxime")</f>
        <v>Maxime</v>
      </c>
      <c r="E186" s="49" t="str">
        <f ca="1">IFERROR(__xludf.DUMMYFUNCTION("""COMPUTED_VALUE"""),"06570140")</f>
        <v>06570140</v>
      </c>
      <c r="F186" s="48" t="str">
        <f ca="1">IFERROR(__xludf.DUMMYFUNCTION("""COMPUTED_VALUE"""),"STE MARIE AUX CHENES ASPTT")</f>
        <v>STE MARIE AUX CHENES ASPTT</v>
      </c>
      <c r="G186" s="50" t="str">
        <f ca="1">IFERROR(__xludf.DUMMYFUNCTION("""COMPUTED_VALUE"""),"CD57")</f>
        <v>CD57</v>
      </c>
      <c r="H186" s="50" t="str">
        <f ca="1">IFERROR(__xludf.DUMMYFUNCTION("""COMPUTED_VALUE"""),"actif")</f>
        <v>actif</v>
      </c>
    </row>
    <row r="187" spans="1:8" ht="12.75">
      <c r="A187" s="46">
        <f ca="1">IFERROR(__xludf.DUMMYFUNCTION("""COMPUTED_VALUE"""),175)</f>
        <v>175</v>
      </c>
      <c r="B187" s="47" t="str">
        <f ca="1">IFERROR(__xludf.DUMMYFUNCTION("""COMPUTED_VALUE"""),"8820680")</f>
        <v>8820680</v>
      </c>
      <c r="C187" s="48" t="str">
        <f ca="1">IFERROR(__xludf.DUMMYFUNCTION("""COMPUTED_VALUE"""),"JITTEN")</f>
        <v>JITTEN</v>
      </c>
      <c r="D187" s="48" t="str">
        <f ca="1">IFERROR(__xludf.DUMMYFUNCTION("""COMPUTED_VALUE"""),"Kiril")</f>
        <v>Kiril</v>
      </c>
      <c r="E187" s="49" t="str">
        <f ca="1">IFERROR(__xludf.DUMMYFUNCTION("""COMPUTED_VALUE"""),"06880145")</f>
        <v>06880145</v>
      </c>
      <c r="F187" s="48" t="str">
        <f ca="1">IFERROR(__xludf.DUMMYFUNCTION("""COMPUTED_VALUE"""),"THAON CHENIMENIL E.S.T.T.")</f>
        <v>THAON CHENIMENIL E.S.T.T.</v>
      </c>
      <c r="G187" s="50" t="str">
        <f ca="1">IFERROR(__xludf.DUMMYFUNCTION("""COMPUTED_VALUE"""),"CD88")</f>
        <v>CD88</v>
      </c>
      <c r="H187" s="50" t="str">
        <f ca="1">IFERROR(__xludf.DUMMYFUNCTION("""COMPUTED_VALUE"""),"actif")</f>
        <v>actif</v>
      </c>
    </row>
    <row r="188" spans="1:8" ht="12.75">
      <c r="A188" s="46">
        <f ca="1">IFERROR(__xludf.DUMMYFUNCTION("""COMPUTED_VALUE"""),176)</f>
        <v>176</v>
      </c>
      <c r="B188" s="47" t="str">
        <f ca="1">IFERROR(__xludf.DUMMYFUNCTION("""COMPUTED_VALUE"""),"6715261")</f>
        <v>6715261</v>
      </c>
      <c r="C188" s="48" t="str">
        <f ca="1">IFERROR(__xludf.DUMMYFUNCTION("""COMPUTED_VALUE"""),"JOANNARD")</f>
        <v>JOANNARD</v>
      </c>
      <c r="D188" s="48" t="str">
        <f ca="1">IFERROR(__xludf.DUMMYFUNCTION("""COMPUTED_VALUE"""),"Martine")</f>
        <v>Martine</v>
      </c>
      <c r="E188" s="49" t="str">
        <f ca="1">IFERROR(__xludf.DUMMYFUNCTION("""COMPUTED_VALUE"""),"06670160")</f>
        <v>06670160</v>
      </c>
      <c r="F188" s="48" t="str">
        <f ca="1">IFERROR(__xludf.DUMMYFUNCTION("""COMPUTED_VALUE"""),"T.T.Haguenau Wissembourg")</f>
        <v>T.T.Haguenau Wissembourg</v>
      </c>
      <c r="G188" s="50" t="str">
        <f ca="1">IFERROR(__xludf.DUMMYFUNCTION("""COMPUTED_VALUE"""),"CD67")</f>
        <v>CD67</v>
      </c>
      <c r="H188" s="50" t="str">
        <f ca="1">IFERROR(__xludf.DUMMYFUNCTION("""COMPUTED_VALUE"""),"actif")</f>
        <v>actif</v>
      </c>
    </row>
    <row r="189" spans="1:8" ht="12.75">
      <c r="A189" s="46">
        <f ca="1">IFERROR(__xludf.DUMMYFUNCTION("""COMPUTED_VALUE"""),177)</f>
        <v>177</v>
      </c>
      <c r="B189" s="47" t="str">
        <f ca="1">IFERROR(__xludf.DUMMYFUNCTION("""COMPUTED_VALUE"""),"5437239")</f>
        <v>5437239</v>
      </c>
      <c r="C189" s="48" t="str">
        <f ca="1">IFERROR(__xludf.DUMMYFUNCTION("""COMPUTED_VALUE"""),"JOLY")</f>
        <v>JOLY</v>
      </c>
      <c r="D189" s="48" t="str">
        <f ca="1">IFERROR(__xludf.DUMMYFUNCTION("""COMPUTED_VALUE"""),"Samuel")</f>
        <v>Samuel</v>
      </c>
      <c r="E189" s="49" t="str">
        <f ca="1">IFERROR(__xludf.DUMMYFUNCTION("""COMPUTED_VALUE"""),"06540040")</f>
        <v>06540040</v>
      </c>
      <c r="F189" s="48" t="str">
        <f ca="1">IFERROR(__xludf.DUMMYFUNCTION("""COMPUTED_VALUE"""),"VILLERS LES NANCY C.O.S.")</f>
        <v>VILLERS LES NANCY C.O.S.</v>
      </c>
      <c r="G189" s="50" t="str">
        <f ca="1">IFERROR(__xludf.DUMMYFUNCTION("""COMPUTED_VALUE"""),"CD54")</f>
        <v>CD54</v>
      </c>
      <c r="H189" s="50" t="str">
        <f ca="1">IFERROR(__xludf.DUMMYFUNCTION("""COMPUTED_VALUE"""),"actif")</f>
        <v>actif</v>
      </c>
    </row>
    <row r="190" spans="1:8" ht="12.75">
      <c r="A190" s="46">
        <f ca="1">IFERROR(__xludf.DUMMYFUNCTION("""COMPUTED_VALUE"""),178)</f>
        <v>178</v>
      </c>
      <c r="B190" s="47" t="str">
        <f ca="1">IFERROR(__xludf.DUMMYFUNCTION("""COMPUTED_VALUE"""),"6714736")</f>
        <v>6714736</v>
      </c>
      <c r="C190" s="48" t="str">
        <f ca="1">IFERROR(__xludf.DUMMYFUNCTION("""COMPUTED_VALUE"""),"JUNG")</f>
        <v>JUNG</v>
      </c>
      <c r="D190" s="48" t="str">
        <f ca="1">IFERROR(__xludf.DUMMYFUNCTION("""COMPUTED_VALUE"""),"Thierry")</f>
        <v>Thierry</v>
      </c>
      <c r="E190" s="49" t="str">
        <f ca="1">IFERROR(__xludf.DUMMYFUNCTION("""COMPUTED_VALUE"""),"06670221")</f>
        <v>06670221</v>
      </c>
      <c r="F190" s="48" t="str">
        <f ca="1">IFERROR(__xludf.DUMMYFUNCTION("""COMPUTED_VALUE"""),"BARR Tennis de Table")</f>
        <v>BARR Tennis de Table</v>
      </c>
      <c r="G190" s="50" t="str">
        <f ca="1">IFERROR(__xludf.DUMMYFUNCTION("""COMPUTED_VALUE"""),"CD67")</f>
        <v>CD67</v>
      </c>
      <c r="H190" s="50" t="str">
        <f ca="1">IFERROR(__xludf.DUMMYFUNCTION("""COMPUTED_VALUE"""),"actif")</f>
        <v>actif</v>
      </c>
    </row>
    <row r="191" spans="1:8" ht="12.75">
      <c r="A191" s="46">
        <f ca="1">IFERROR(__xludf.DUMMYFUNCTION("""COMPUTED_VALUE"""),179)</f>
        <v>179</v>
      </c>
      <c r="B191" s="47" t="str">
        <f ca="1">IFERROR(__xludf.DUMMYFUNCTION("""COMPUTED_VALUE"""),"675615")</f>
        <v>675615</v>
      </c>
      <c r="C191" s="48" t="str">
        <f ca="1">IFERROR(__xludf.DUMMYFUNCTION("""COMPUTED_VALUE"""),"JUNG")</f>
        <v>JUNG</v>
      </c>
      <c r="D191" s="48" t="str">
        <f ca="1">IFERROR(__xludf.DUMMYFUNCTION("""COMPUTED_VALUE"""),"Olivier")</f>
        <v>Olivier</v>
      </c>
      <c r="E191" s="49" t="str">
        <f ca="1">IFERROR(__xludf.DUMMYFUNCTION("""COMPUTED_VALUE"""),"06670272")</f>
        <v>06670272</v>
      </c>
      <c r="F191" s="48" t="str">
        <f ca="1">IFERROR(__xludf.DUMMYFUNCTION("""COMPUTED_VALUE"""),"SCHILTIGHEIM Tennis de Table")</f>
        <v>SCHILTIGHEIM Tennis de Table</v>
      </c>
      <c r="G191" s="50" t="str">
        <f ca="1">IFERROR(__xludf.DUMMYFUNCTION("""COMPUTED_VALUE"""),"CD67")</f>
        <v>CD67</v>
      </c>
      <c r="H191" s="50" t="str">
        <f ca="1">IFERROR(__xludf.DUMMYFUNCTION("""COMPUTED_VALUE"""),"actif")</f>
        <v>actif</v>
      </c>
    </row>
    <row r="192" spans="1:8" ht="12.75">
      <c r="A192" s="46">
        <f ca="1">IFERROR(__xludf.DUMMYFUNCTION("""COMPUTED_VALUE"""),180)</f>
        <v>180</v>
      </c>
      <c r="B192" s="47" t="str">
        <f ca="1">IFERROR(__xludf.DUMMYFUNCTION("""COMPUTED_VALUE"""),"5736496")</f>
        <v>5736496</v>
      </c>
      <c r="C192" s="48" t="str">
        <f ca="1">IFERROR(__xludf.DUMMYFUNCTION("""COMPUTED_VALUE"""),"KACEM")</f>
        <v>KACEM</v>
      </c>
      <c r="D192" s="48" t="str">
        <f ca="1">IFERROR(__xludf.DUMMYFUNCTION("""COMPUTED_VALUE"""),"Alexandre")</f>
        <v>Alexandre</v>
      </c>
      <c r="E192" s="49" t="str">
        <f ca="1">IFERROR(__xludf.DUMMYFUNCTION("""COMPUTED_VALUE"""),"06570190")</f>
        <v>06570190</v>
      </c>
      <c r="F192" s="48" t="str">
        <f ca="1">IFERROR(__xludf.DUMMYFUNCTION("""COMPUTED_VALUE"""),"METZ Tennis de Table")</f>
        <v>METZ Tennis de Table</v>
      </c>
      <c r="G192" s="50" t="str">
        <f ca="1">IFERROR(__xludf.DUMMYFUNCTION("""COMPUTED_VALUE"""),"CD57")</f>
        <v>CD57</v>
      </c>
      <c r="H192" s="50" t="str">
        <f ca="1">IFERROR(__xludf.DUMMYFUNCTION("""COMPUTED_VALUE"""),"actif")</f>
        <v>actif</v>
      </c>
    </row>
    <row r="193" spans="1:8" ht="12.75">
      <c r="A193" s="46">
        <f ca="1">IFERROR(__xludf.DUMMYFUNCTION("""COMPUTED_VALUE"""),181)</f>
        <v>181</v>
      </c>
      <c r="B193" s="47" t="str">
        <f ca="1">IFERROR(__xludf.DUMMYFUNCTION("""COMPUTED_VALUE"""),"6715900")</f>
        <v>6715900</v>
      </c>
      <c r="C193" s="48" t="str">
        <f ca="1">IFERROR(__xludf.DUMMYFUNCTION("""COMPUTED_VALUE"""),"KALTENBACH")</f>
        <v>KALTENBACH</v>
      </c>
      <c r="D193" s="48" t="str">
        <f ca="1">IFERROR(__xludf.DUMMYFUNCTION("""COMPUTED_VALUE"""),"Georges")</f>
        <v>Georges</v>
      </c>
      <c r="E193" s="49" t="str">
        <f ca="1">IFERROR(__xludf.DUMMYFUNCTION("""COMPUTED_VALUE"""),"06670002")</f>
        <v>06670002</v>
      </c>
      <c r="F193" s="48" t="str">
        <f ca="1">IFERROR(__xludf.DUMMYFUNCTION("""COMPUTED_VALUE"""),"STRASBOURG ST JEAN CS 1852")</f>
        <v>STRASBOURG ST JEAN CS 1852</v>
      </c>
      <c r="G193" s="50" t="str">
        <f ca="1">IFERROR(__xludf.DUMMYFUNCTION("""COMPUTED_VALUE"""),"CD67")</f>
        <v>CD67</v>
      </c>
      <c r="H193" s="50" t="str">
        <f ca="1">IFERROR(__xludf.DUMMYFUNCTION("""COMPUTED_VALUE"""),"actif")</f>
        <v>actif</v>
      </c>
    </row>
    <row r="194" spans="1:8" ht="12.75">
      <c r="A194" s="46">
        <f ca="1">IFERROR(__xludf.DUMMYFUNCTION("""COMPUTED_VALUE"""),182)</f>
        <v>182</v>
      </c>
      <c r="B194" s="47" t="str">
        <f ca="1">IFERROR(__xludf.DUMMYFUNCTION("""COMPUTED_VALUE"""),"6718169")</f>
        <v>6718169</v>
      </c>
      <c r="C194" s="48" t="str">
        <f ca="1">IFERROR(__xludf.DUMMYFUNCTION("""COMPUTED_VALUE"""),"KAUFFER")</f>
        <v>KAUFFER</v>
      </c>
      <c r="D194" s="48" t="str">
        <f ca="1">IFERROR(__xludf.DUMMYFUNCTION("""COMPUTED_VALUE"""),"Maurice")</f>
        <v>Maurice</v>
      </c>
      <c r="E194" s="49" t="str">
        <f ca="1">IFERROR(__xludf.DUMMYFUNCTION("""COMPUTED_VALUE"""),"06670248")</f>
        <v>06670248</v>
      </c>
      <c r="F194" s="48" t="str">
        <f ca="1">IFERROR(__xludf.DUMMYFUNCTION("""COMPUTED_VALUE"""),"MARMOUTIER CSE")</f>
        <v>MARMOUTIER CSE</v>
      </c>
      <c r="G194" s="50" t="str">
        <f ca="1">IFERROR(__xludf.DUMMYFUNCTION("""COMPUTED_VALUE"""),"CD67")</f>
        <v>CD67</v>
      </c>
      <c r="H194" s="50" t="str">
        <f ca="1">IFERROR(__xludf.DUMMYFUNCTION("""COMPUTED_VALUE"""),"actif")</f>
        <v>actif</v>
      </c>
    </row>
    <row r="195" spans="1:8" ht="12.75">
      <c r="A195" s="46">
        <f ca="1">IFERROR(__xludf.DUMMYFUNCTION("""COMPUTED_VALUE"""),183)</f>
        <v>183</v>
      </c>
      <c r="B195" s="47" t="str">
        <f ca="1">IFERROR(__xludf.DUMMYFUNCTION("""COMPUTED_VALUE"""),"5428470")</f>
        <v>5428470</v>
      </c>
      <c r="C195" s="48" t="str">
        <f ca="1">IFERROR(__xludf.DUMMYFUNCTION("""COMPUTED_VALUE"""),"KERBOUA")</f>
        <v>KERBOUA</v>
      </c>
      <c r="D195" s="48" t="str">
        <f ca="1">IFERROR(__xludf.DUMMYFUNCTION("""COMPUTED_VALUE"""),"Noham")</f>
        <v>Noham</v>
      </c>
      <c r="E195" s="49" t="str">
        <f ca="1">IFERROR(__xludf.DUMMYFUNCTION("""COMPUTED_VALUE"""),"06540198")</f>
        <v>06540198</v>
      </c>
      <c r="F195" s="48" t="str">
        <f ca="1">IFERROR(__xludf.DUMMYFUNCTION("""COMPUTED_VALUE"""),"VANDOEUVRE ASTT")</f>
        <v>VANDOEUVRE ASTT</v>
      </c>
      <c r="G195" s="50" t="str">
        <f ca="1">IFERROR(__xludf.DUMMYFUNCTION("""COMPUTED_VALUE"""),"CD54")</f>
        <v>CD54</v>
      </c>
      <c r="H195" s="50" t="str">
        <f ca="1">IFERROR(__xludf.DUMMYFUNCTION("""COMPUTED_VALUE"""),"actif")</f>
        <v>actif</v>
      </c>
    </row>
    <row r="196" spans="1:8" ht="12.75">
      <c r="A196" s="46">
        <f ca="1">IFERROR(__xludf.DUMMYFUNCTION("""COMPUTED_VALUE"""),184)</f>
        <v>184</v>
      </c>
      <c r="B196" s="47" t="str">
        <f ca="1">IFERROR(__xludf.DUMMYFUNCTION("""COMPUTED_VALUE"""),"8820490")</f>
        <v>8820490</v>
      </c>
      <c r="C196" s="48" t="str">
        <f ca="1">IFERROR(__xludf.DUMMYFUNCTION("""COMPUTED_VALUE"""),"KLUFTS")</f>
        <v>KLUFTS</v>
      </c>
      <c r="D196" s="48" t="str">
        <f ca="1">IFERROR(__xludf.DUMMYFUNCTION("""COMPUTED_VALUE"""),"Jorian")</f>
        <v>Jorian</v>
      </c>
      <c r="E196" s="49" t="str">
        <f ca="1">IFERROR(__xludf.DUMMYFUNCTION("""COMPUTED_VALUE"""),"06880010")</f>
        <v>06880010</v>
      </c>
      <c r="F196" s="48" t="str">
        <f ca="1">IFERROR(__xludf.DUMMYFUNCTION("""COMPUTED_VALUE"""),"SAINT DIE SRDTT")</f>
        <v>SAINT DIE SRDTT</v>
      </c>
      <c r="G196" s="50" t="str">
        <f ca="1">IFERROR(__xludf.DUMMYFUNCTION("""COMPUTED_VALUE"""),"CD88")</f>
        <v>CD88</v>
      </c>
      <c r="H196" s="50" t="str">
        <f ca="1">IFERROR(__xludf.DUMMYFUNCTION("""COMPUTED_VALUE"""),"actif")</f>
        <v>actif</v>
      </c>
    </row>
    <row r="197" spans="1:8" ht="12.75">
      <c r="A197" s="46">
        <f ca="1">IFERROR(__xludf.DUMMYFUNCTION("""COMPUTED_VALUE"""),185)</f>
        <v>185</v>
      </c>
      <c r="B197" s="47" t="str">
        <f ca="1">IFERROR(__xludf.DUMMYFUNCTION("""COMPUTED_VALUE"""),"555154")</f>
        <v>555154</v>
      </c>
      <c r="C197" s="48" t="str">
        <f ca="1">IFERROR(__xludf.DUMMYFUNCTION("""COMPUTED_VALUE"""),"KNOBLAUCH")</f>
        <v>KNOBLAUCH</v>
      </c>
      <c r="D197" s="48" t="str">
        <f ca="1">IFERROR(__xludf.DUMMYFUNCTION("""COMPUTED_VALUE"""),"Thiwa Andre")</f>
        <v>Thiwa Andre</v>
      </c>
      <c r="E197" s="49" t="str">
        <f ca="1">IFERROR(__xludf.DUMMYFUNCTION("""COMPUTED_VALUE"""),"06550013")</f>
        <v>06550013</v>
      </c>
      <c r="F197" s="48" t="str">
        <f ca="1">IFERROR(__xludf.DUMMYFUNCTION("""COMPUTED_VALUE"""),"VERDUN S.A.V.T.T.")</f>
        <v>VERDUN S.A.V.T.T.</v>
      </c>
      <c r="G197" s="50" t="str">
        <f ca="1">IFERROR(__xludf.DUMMYFUNCTION("""COMPUTED_VALUE"""),"CD55")</f>
        <v>CD55</v>
      </c>
      <c r="H197" s="50" t="str">
        <f ca="1">IFERROR(__xludf.DUMMYFUNCTION("""COMPUTED_VALUE"""),"actif")</f>
        <v>actif</v>
      </c>
    </row>
    <row r="198" spans="1:8" ht="12.75">
      <c r="A198" s="46">
        <f ca="1">IFERROR(__xludf.DUMMYFUNCTION("""COMPUTED_VALUE"""),186)</f>
        <v>186</v>
      </c>
      <c r="B198" s="47" t="str">
        <f ca="1">IFERROR(__xludf.DUMMYFUNCTION("""COMPUTED_VALUE"""),"6720887")</f>
        <v>6720887</v>
      </c>
      <c r="C198" s="48" t="str">
        <f ca="1">IFERROR(__xludf.DUMMYFUNCTION("""COMPUTED_VALUE"""),"KUHM")</f>
        <v>KUHM</v>
      </c>
      <c r="D198" s="48" t="str">
        <f ca="1">IFERROR(__xludf.DUMMYFUNCTION("""COMPUTED_VALUE"""),"Jean")</f>
        <v>Jean</v>
      </c>
      <c r="E198" s="49" t="str">
        <f ca="1">IFERROR(__xludf.DUMMYFUNCTION("""COMPUTED_VALUE"""),"06670160")</f>
        <v>06670160</v>
      </c>
      <c r="F198" s="48" t="str">
        <f ca="1">IFERROR(__xludf.DUMMYFUNCTION("""COMPUTED_VALUE"""),"T.T.Haguenau Wissembourg")</f>
        <v>T.T.Haguenau Wissembourg</v>
      </c>
      <c r="G198" s="50" t="str">
        <f ca="1">IFERROR(__xludf.DUMMYFUNCTION("""COMPUTED_VALUE"""),"CD67")</f>
        <v>CD67</v>
      </c>
      <c r="H198" s="50" t="str">
        <f ca="1">IFERROR(__xludf.DUMMYFUNCTION("""COMPUTED_VALUE"""),"actif")</f>
        <v>actif</v>
      </c>
    </row>
    <row r="199" spans="1:8" ht="12.75">
      <c r="A199" s="46">
        <f ca="1">IFERROR(__xludf.DUMMYFUNCTION("""COMPUTED_VALUE"""),187)</f>
        <v>187</v>
      </c>
      <c r="B199" s="47" t="str">
        <f ca="1">IFERROR(__xludf.DUMMYFUNCTION("""COMPUTED_VALUE"""),"558166")</f>
        <v>558166</v>
      </c>
      <c r="C199" s="48" t="str">
        <f ca="1">IFERROR(__xludf.DUMMYFUNCTION("""COMPUTED_VALUE"""),"LALLOZ")</f>
        <v>LALLOZ</v>
      </c>
      <c r="D199" s="48" t="str">
        <f ca="1">IFERROR(__xludf.DUMMYFUNCTION("""COMPUTED_VALUE"""),"Anthony")</f>
        <v>Anthony</v>
      </c>
      <c r="E199" s="49" t="str">
        <f ca="1">IFERROR(__xludf.DUMMYFUNCTION("""COMPUTED_VALUE"""),"06550005")</f>
        <v>06550005</v>
      </c>
      <c r="F199" s="48" t="str">
        <f ca="1">IFERROR(__xludf.DUMMYFUNCTION("""COMPUTED_VALUE"""),"SAINT MIHIEL P.P.C.")</f>
        <v>SAINT MIHIEL P.P.C.</v>
      </c>
      <c r="G199" s="50" t="str">
        <f ca="1">IFERROR(__xludf.DUMMYFUNCTION("""COMPUTED_VALUE"""),"CD55")</f>
        <v>CD55</v>
      </c>
      <c r="H199" s="50" t="str">
        <f ca="1">IFERROR(__xludf.DUMMYFUNCTION("""COMPUTED_VALUE"""),"actif")</f>
        <v>actif</v>
      </c>
    </row>
    <row r="200" spans="1:8" ht="12.75">
      <c r="A200" s="46">
        <f ca="1">IFERROR(__xludf.DUMMYFUNCTION("""COMPUTED_VALUE"""),188)</f>
        <v>188</v>
      </c>
      <c r="B200" s="47" t="str">
        <f ca="1">IFERROR(__xludf.DUMMYFUNCTION("""COMPUTED_VALUE"""),"8814169")</f>
        <v>8814169</v>
      </c>
      <c r="C200" s="48" t="str">
        <f ca="1">IFERROR(__xludf.DUMMYFUNCTION("""COMPUTED_VALUE"""),"LAMAZE")</f>
        <v>LAMAZE</v>
      </c>
      <c r="D200" s="48" t="str">
        <f ca="1">IFERROR(__xludf.DUMMYFUNCTION("""COMPUTED_VALUE"""),"Loic")</f>
        <v>Loic</v>
      </c>
      <c r="E200" s="49" t="str">
        <f ca="1">IFERROR(__xludf.DUMMYFUNCTION("""COMPUTED_VALUE"""),"06880010")</f>
        <v>06880010</v>
      </c>
      <c r="F200" s="48" t="str">
        <f ca="1">IFERROR(__xludf.DUMMYFUNCTION("""COMPUTED_VALUE"""),"SAINT DIE SRDTT")</f>
        <v>SAINT DIE SRDTT</v>
      </c>
      <c r="G200" s="50" t="str">
        <f ca="1">IFERROR(__xludf.DUMMYFUNCTION("""COMPUTED_VALUE"""),"CD88")</f>
        <v>CD88</v>
      </c>
      <c r="H200" s="50" t="str">
        <f ca="1">IFERROR(__xludf.DUMMYFUNCTION("""COMPUTED_VALUE"""),"actif")</f>
        <v>actif</v>
      </c>
    </row>
    <row r="201" spans="1:8" ht="12.75">
      <c r="A201" s="46">
        <f ca="1">IFERROR(__xludf.DUMMYFUNCTION("""COMPUTED_VALUE"""),189)</f>
        <v>189</v>
      </c>
      <c r="B201" s="47" t="str">
        <f ca="1">IFERROR(__xludf.DUMMYFUNCTION("""COMPUTED_VALUE"""),"5439172")</f>
        <v>5439172</v>
      </c>
      <c r="C201" s="48" t="str">
        <f ca="1">IFERROR(__xludf.DUMMYFUNCTION("""COMPUTED_VALUE"""),"LAMBERT")</f>
        <v>LAMBERT</v>
      </c>
      <c r="D201" s="48" t="str">
        <f ca="1">IFERROR(__xludf.DUMMYFUNCTION("""COMPUTED_VALUE"""),"Thibaut")</f>
        <v>Thibaut</v>
      </c>
      <c r="E201" s="49" t="str">
        <f ca="1">IFERROR(__xludf.DUMMYFUNCTION("""COMPUTED_VALUE"""),"06540010")</f>
        <v>06540010</v>
      </c>
      <c r="F201" s="48" t="str">
        <f ca="1">IFERROR(__xludf.DUMMYFUNCTION("""COMPUTED_VALUE"""),"FOUG C.P.")</f>
        <v>FOUG C.P.</v>
      </c>
      <c r="G201" s="50" t="str">
        <f ca="1">IFERROR(__xludf.DUMMYFUNCTION("""COMPUTED_VALUE"""),"CD54")</f>
        <v>CD54</v>
      </c>
      <c r="H201" s="50" t="str">
        <f ca="1">IFERROR(__xludf.DUMMYFUNCTION("""COMPUTED_VALUE"""),"actif")</f>
        <v>actif</v>
      </c>
    </row>
    <row r="202" spans="1:8" ht="12.75">
      <c r="A202" s="46">
        <f ca="1">IFERROR(__xludf.DUMMYFUNCTION("""COMPUTED_VALUE"""),190)</f>
        <v>190</v>
      </c>
      <c r="B202" s="47" t="str">
        <f ca="1">IFERROR(__xludf.DUMMYFUNCTION("""COMPUTED_VALUE"""),"5722228")</f>
        <v>5722228</v>
      </c>
      <c r="C202" s="48" t="str">
        <f ca="1">IFERROR(__xludf.DUMMYFUNCTION("""COMPUTED_VALUE"""),"LAMY")</f>
        <v>LAMY</v>
      </c>
      <c r="D202" s="48" t="str">
        <f ca="1">IFERROR(__xludf.DUMMYFUNCTION("""COMPUTED_VALUE"""),"Yoann")</f>
        <v>Yoann</v>
      </c>
      <c r="E202" s="49" t="str">
        <f ca="1">IFERROR(__xludf.DUMMYFUNCTION("""COMPUTED_VALUE"""),"06570024")</f>
        <v>06570024</v>
      </c>
      <c r="F202" s="48" t="str">
        <f ca="1">IFERROR(__xludf.DUMMYFUNCTION("""COMPUTED_VALUE"""),"THIONVILLE Tennis de Table")</f>
        <v>THIONVILLE Tennis de Table</v>
      </c>
      <c r="G202" s="50" t="str">
        <f ca="1">IFERROR(__xludf.DUMMYFUNCTION("""COMPUTED_VALUE"""),"CD57")</f>
        <v>CD57</v>
      </c>
      <c r="H202" s="50" t="str">
        <f ca="1">IFERROR(__xludf.DUMMYFUNCTION("""COMPUTED_VALUE"""),"actif")</f>
        <v>actif</v>
      </c>
    </row>
    <row r="203" spans="1:8" ht="12.75">
      <c r="A203" s="46">
        <f ca="1">IFERROR(__xludf.DUMMYFUNCTION("""COMPUTED_VALUE"""),191)</f>
        <v>191</v>
      </c>
      <c r="B203" s="47" t="str">
        <f ca="1">IFERROR(__xludf.DUMMYFUNCTION("""COMPUTED_VALUE"""),"646809")</f>
        <v>646809</v>
      </c>
      <c r="C203" s="48" t="str">
        <f ca="1">IFERROR(__xludf.DUMMYFUNCTION("""COMPUTED_VALUE"""),"LANVIN")</f>
        <v>LANVIN</v>
      </c>
      <c r="D203" s="48" t="str">
        <f ca="1">IFERROR(__xludf.DUMMYFUNCTION("""COMPUTED_VALUE"""),"Estelle")</f>
        <v>Estelle</v>
      </c>
      <c r="E203" s="49" t="str">
        <f ca="1">IFERROR(__xludf.DUMMYFUNCTION("""COMPUTED_VALUE"""),"06670010")</f>
        <v>06670010</v>
      </c>
      <c r="F203" s="48" t="str">
        <f ca="1">IFERROR(__xludf.DUMMYFUNCTION("""COMPUTED_VALUE"""),"SCHILTIGHEIM SU TT")</f>
        <v>SCHILTIGHEIM SU TT</v>
      </c>
      <c r="G203" s="50" t="str">
        <f ca="1">IFERROR(__xludf.DUMMYFUNCTION("""COMPUTED_VALUE"""),"CD67")</f>
        <v>CD67</v>
      </c>
      <c r="H203" s="50" t="str">
        <f ca="1">IFERROR(__xludf.DUMMYFUNCTION("""COMPUTED_VALUE"""),"actif")</f>
        <v>actif</v>
      </c>
    </row>
    <row r="204" spans="1:8" ht="12.75">
      <c r="A204" s="46">
        <f ca="1">IFERROR(__xludf.DUMMYFUNCTION("""COMPUTED_VALUE"""),192)</f>
        <v>192</v>
      </c>
      <c r="B204" s="47" t="str">
        <f ca="1">IFERROR(__xludf.DUMMYFUNCTION("""COMPUTED_VALUE"""),"6218214")</f>
        <v>6218214</v>
      </c>
      <c r="C204" s="48" t="str">
        <f ca="1">IFERROR(__xludf.DUMMYFUNCTION("""COMPUTED_VALUE"""),"LARDE")</f>
        <v>LARDE</v>
      </c>
      <c r="D204" s="48" t="str">
        <f ca="1">IFERROR(__xludf.DUMMYFUNCTION("""COMPUTED_VALUE"""),"Quentin")</f>
        <v>Quentin</v>
      </c>
      <c r="E204" s="49" t="str">
        <f ca="1">IFERROR(__xludf.DUMMYFUNCTION("""COMPUTED_VALUE"""),"06670010")</f>
        <v>06670010</v>
      </c>
      <c r="F204" s="48" t="str">
        <f ca="1">IFERROR(__xludf.DUMMYFUNCTION("""COMPUTED_VALUE"""),"SCHILTIGHEIM SU TT")</f>
        <v>SCHILTIGHEIM SU TT</v>
      </c>
      <c r="G204" s="50" t="str">
        <f ca="1">IFERROR(__xludf.DUMMYFUNCTION("""COMPUTED_VALUE"""),"CD67")</f>
        <v>CD67</v>
      </c>
      <c r="H204" s="50" t="str">
        <f ca="1">IFERROR(__xludf.DUMMYFUNCTION("""COMPUTED_VALUE"""),"actif")</f>
        <v>actif</v>
      </c>
    </row>
    <row r="205" spans="1:8" ht="12.75">
      <c r="A205" s="46">
        <f ca="1">IFERROR(__xludf.DUMMYFUNCTION("""COMPUTED_VALUE"""),193)</f>
        <v>193</v>
      </c>
      <c r="B205" s="47" t="str">
        <f ca="1">IFERROR(__xludf.DUMMYFUNCTION("""COMPUTED_VALUE"""),"8811209")</f>
        <v>8811209</v>
      </c>
      <c r="C205" s="48" t="str">
        <f ca="1">IFERROR(__xludf.DUMMYFUNCTION("""COMPUTED_VALUE"""),"LATTEMANN")</f>
        <v>LATTEMANN</v>
      </c>
      <c r="D205" s="48" t="str">
        <f ca="1">IFERROR(__xludf.DUMMYFUNCTION("""COMPUTED_VALUE"""),"Robin")</f>
        <v>Robin</v>
      </c>
      <c r="E205" s="49" t="str">
        <f ca="1">IFERROR(__xludf.DUMMYFUNCTION("""COMPUTED_VALUE"""),"06880010")</f>
        <v>06880010</v>
      </c>
      <c r="F205" s="48" t="str">
        <f ca="1">IFERROR(__xludf.DUMMYFUNCTION("""COMPUTED_VALUE"""),"SAINT DIE SRDTT")</f>
        <v>SAINT DIE SRDTT</v>
      </c>
      <c r="G205" s="50" t="str">
        <f ca="1">IFERROR(__xludf.DUMMYFUNCTION("""COMPUTED_VALUE"""),"CD88")</f>
        <v>CD88</v>
      </c>
      <c r="H205" s="50" t="str">
        <f ca="1">IFERROR(__xludf.DUMMYFUNCTION("""COMPUTED_VALUE"""),"actif")</f>
        <v>actif</v>
      </c>
    </row>
    <row r="206" spans="1:8" ht="12.75">
      <c r="A206" s="46">
        <f ca="1">IFERROR(__xludf.DUMMYFUNCTION("""COMPUTED_VALUE"""),194)</f>
        <v>194</v>
      </c>
      <c r="B206" s="47" t="str">
        <f ca="1">IFERROR(__xludf.DUMMYFUNCTION("""COMPUTED_VALUE"""),"553244")</f>
        <v>553244</v>
      </c>
      <c r="C206" s="48" t="str">
        <f ca="1">IFERROR(__xludf.DUMMYFUNCTION("""COMPUTED_VALUE"""),"LAURANT")</f>
        <v>LAURANT</v>
      </c>
      <c r="D206" s="48" t="str">
        <f ca="1">IFERROR(__xludf.DUMMYFUNCTION("""COMPUTED_VALUE"""),"Mickael")</f>
        <v>Mickael</v>
      </c>
      <c r="E206" s="49" t="str">
        <f ca="1">IFERROR(__xludf.DUMMYFUNCTION("""COMPUTED_VALUE"""),"06570075")</f>
        <v>06570075</v>
      </c>
      <c r="F206" s="48" t="str">
        <f ca="1">IFERROR(__xludf.DUMMYFUNCTION("""COMPUTED_VALUE"""),"ILLANGE USTT")</f>
        <v>ILLANGE USTT</v>
      </c>
      <c r="G206" s="50" t="str">
        <f ca="1">IFERROR(__xludf.DUMMYFUNCTION("""COMPUTED_VALUE"""),"CD57")</f>
        <v>CD57</v>
      </c>
      <c r="H206" s="50" t="str">
        <f ca="1">IFERROR(__xludf.DUMMYFUNCTION("""COMPUTED_VALUE"""),"actif")</f>
        <v>actif</v>
      </c>
    </row>
    <row r="207" spans="1:8" ht="12.75">
      <c r="A207" s="46">
        <f ca="1">IFERROR(__xludf.DUMMYFUNCTION("""COMPUTED_VALUE"""),195)</f>
        <v>195</v>
      </c>
      <c r="B207" s="47" t="str">
        <f ca="1">IFERROR(__xludf.DUMMYFUNCTION("""COMPUTED_VALUE"""),"0812751")</f>
        <v>0812751</v>
      </c>
      <c r="C207" s="48" t="str">
        <f ca="1">IFERROR(__xludf.DUMMYFUNCTION("""COMPUTED_VALUE"""),"LE BIHAN")</f>
        <v>LE BIHAN</v>
      </c>
      <c r="D207" s="48" t="str">
        <f ca="1">IFERROR(__xludf.DUMMYFUNCTION("""COMPUTED_VALUE"""),"Dorothee")</f>
        <v>Dorothee</v>
      </c>
      <c r="E207" s="49" t="str">
        <f ca="1">IFERROR(__xludf.DUMMYFUNCTION("""COMPUTED_VALUE"""),"06080013")</f>
        <v>06080013</v>
      </c>
      <c r="F207" s="48" t="str">
        <f ca="1">IFERROR(__xludf.DUMMYFUNCTION("""COMPUTED_VALUE"""),"TAGNON PPC")</f>
        <v>TAGNON PPC</v>
      </c>
      <c r="G207" s="50" t="str">
        <f ca="1">IFERROR(__xludf.DUMMYFUNCTION("""COMPUTED_VALUE"""),"CD08")</f>
        <v>CD08</v>
      </c>
      <c r="H207" s="50" t="str">
        <f ca="1">IFERROR(__xludf.DUMMYFUNCTION("""COMPUTED_VALUE"""),"actif")</f>
        <v>actif</v>
      </c>
    </row>
    <row r="208" spans="1:8" ht="12.75">
      <c r="A208" s="46">
        <f ca="1">IFERROR(__xludf.DUMMYFUNCTION("""COMPUTED_VALUE"""),196)</f>
        <v>196</v>
      </c>
      <c r="B208" s="47" t="str">
        <f ca="1">IFERROR(__xludf.DUMMYFUNCTION("""COMPUTED_VALUE"""),"673174")</f>
        <v>673174</v>
      </c>
      <c r="C208" s="48" t="str">
        <f ca="1">IFERROR(__xludf.DUMMYFUNCTION("""COMPUTED_VALUE"""),"LEBIGOT")</f>
        <v>LEBIGOT</v>
      </c>
      <c r="D208" s="48" t="str">
        <f ca="1">IFERROR(__xludf.DUMMYFUNCTION("""COMPUTED_VALUE"""),"Alain")</f>
        <v>Alain</v>
      </c>
      <c r="E208" s="49" t="str">
        <f ca="1">IFERROR(__xludf.DUMMYFUNCTION("""COMPUTED_VALUE"""),"06670149")</f>
        <v>06670149</v>
      </c>
      <c r="F208" s="48" t="str">
        <f ca="1">IFERROR(__xludf.DUMMYFUNCTION("""COMPUTED_VALUE"""),"DORLISHEIM SD")</f>
        <v>DORLISHEIM SD</v>
      </c>
      <c r="G208" s="50" t="str">
        <f ca="1">IFERROR(__xludf.DUMMYFUNCTION("""COMPUTED_VALUE"""),"CD67")</f>
        <v>CD67</v>
      </c>
      <c r="H208" s="50" t="str">
        <f ca="1">IFERROR(__xludf.DUMMYFUNCTION("""COMPUTED_VALUE"""),"actif")</f>
        <v>actif</v>
      </c>
    </row>
    <row r="209" spans="1:8" ht="12.75">
      <c r="A209" s="46">
        <f ca="1">IFERROR(__xludf.DUMMYFUNCTION("""COMPUTED_VALUE"""),197)</f>
        <v>197</v>
      </c>
      <c r="B209" s="47" t="str">
        <f ca="1">IFERROR(__xludf.DUMMYFUNCTION("""COMPUTED_VALUE"""),"675177")</f>
        <v>675177</v>
      </c>
      <c r="C209" s="48" t="str">
        <f ca="1">IFERROR(__xludf.DUMMYFUNCTION("""COMPUTED_VALUE"""),"LECERF")</f>
        <v>LECERF</v>
      </c>
      <c r="D209" s="48" t="str">
        <f ca="1">IFERROR(__xludf.DUMMYFUNCTION("""COMPUTED_VALUE"""),"Fabien")</f>
        <v>Fabien</v>
      </c>
      <c r="E209" s="49" t="str">
        <f ca="1">IFERROR(__xludf.DUMMYFUNCTION("""COMPUTED_VALUE"""),"06670171")</f>
        <v>06670171</v>
      </c>
      <c r="F209" s="48" t="str">
        <f ca="1">IFERROR(__xludf.DUMMYFUNCTION("""COMPUTED_VALUE"""),"OBENHEIM Club Tennis Table")</f>
        <v>OBENHEIM Club Tennis Table</v>
      </c>
      <c r="G209" s="50" t="str">
        <f ca="1">IFERROR(__xludf.DUMMYFUNCTION("""COMPUTED_VALUE"""),"CD67")</f>
        <v>CD67</v>
      </c>
      <c r="H209" s="50" t="str">
        <f ca="1">IFERROR(__xludf.DUMMYFUNCTION("""COMPUTED_VALUE"""),"actif")</f>
        <v>actif</v>
      </c>
    </row>
    <row r="210" spans="1:8" ht="12.75">
      <c r="A210" s="46">
        <f ca="1">IFERROR(__xludf.DUMMYFUNCTION("""COMPUTED_VALUE"""),198)</f>
        <v>198</v>
      </c>
      <c r="B210" s="47" t="str">
        <f ca="1">IFERROR(__xludf.DUMMYFUNCTION("""COMPUTED_VALUE"""),"2112251")</f>
        <v>2112251</v>
      </c>
      <c r="C210" s="48" t="str">
        <f ca="1">IFERROR(__xludf.DUMMYFUNCTION("""COMPUTED_VALUE"""),"LECOUR")</f>
        <v>LECOUR</v>
      </c>
      <c r="D210" s="48" t="str">
        <f ca="1">IFERROR(__xludf.DUMMYFUNCTION("""COMPUTED_VALUE"""),"Melanie")</f>
        <v>Melanie</v>
      </c>
      <c r="E210" s="49" t="str">
        <f ca="1">IFERROR(__xludf.DUMMYFUNCTION("""COMPUTED_VALUE"""),"06570190")</f>
        <v>06570190</v>
      </c>
      <c r="F210" s="48" t="str">
        <f ca="1">IFERROR(__xludf.DUMMYFUNCTION("""COMPUTED_VALUE"""),"METZ Tennis de Table")</f>
        <v>METZ Tennis de Table</v>
      </c>
      <c r="G210" s="50" t="str">
        <f ca="1">IFERROR(__xludf.DUMMYFUNCTION("""COMPUTED_VALUE"""),"CD57")</f>
        <v>CD57</v>
      </c>
      <c r="H210" s="50" t="str">
        <f ca="1">IFERROR(__xludf.DUMMYFUNCTION("""COMPUTED_VALUE"""),"actif")</f>
        <v>actif</v>
      </c>
    </row>
    <row r="211" spans="1:8" ht="12.75">
      <c r="A211" s="46">
        <f ca="1">IFERROR(__xludf.DUMMYFUNCTION("""COMPUTED_VALUE"""),199)</f>
        <v>199</v>
      </c>
      <c r="B211" s="47" t="str">
        <f ca="1">IFERROR(__xludf.DUMMYFUNCTION("""COMPUTED_VALUE"""),"5736636")</f>
        <v>5736636</v>
      </c>
      <c r="C211" s="48" t="str">
        <f ca="1">IFERROR(__xludf.DUMMYFUNCTION("""COMPUTED_VALUE"""),"LEGER")</f>
        <v>LEGER</v>
      </c>
      <c r="D211" s="48" t="str">
        <f ca="1">IFERROR(__xludf.DUMMYFUNCTION("""COMPUTED_VALUE"""),"Joran")</f>
        <v>Joran</v>
      </c>
      <c r="E211" s="49" t="str">
        <f ca="1">IFERROR(__xludf.DUMMYFUNCTION("""COMPUTED_VALUE"""),"06570073")</f>
        <v>06570073</v>
      </c>
      <c r="F211" s="48" t="str">
        <f ca="1">IFERROR(__xludf.DUMMYFUNCTION("""COMPUTED_VALUE"""),"TERVILLE Tennis de Table")</f>
        <v>TERVILLE Tennis de Table</v>
      </c>
      <c r="G211" s="50" t="str">
        <f ca="1">IFERROR(__xludf.DUMMYFUNCTION("""COMPUTED_VALUE"""),"CD57")</f>
        <v>CD57</v>
      </c>
      <c r="H211" s="50" t="str">
        <f ca="1">IFERROR(__xludf.DUMMYFUNCTION("""COMPUTED_VALUE"""),"actif")</f>
        <v>actif</v>
      </c>
    </row>
    <row r="212" spans="1:8" ht="12.75">
      <c r="A212" s="46">
        <f ca="1">IFERROR(__xludf.DUMMYFUNCTION("""COMPUTED_VALUE"""),200)</f>
        <v>200</v>
      </c>
      <c r="B212" s="47" t="str">
        <f ca="1">IFERROR(__xludf.DUMMYFUNCTION("""COMPUTED_VALUE"""),"5432507")</f>
        <v>5432507</v>
      </c>
      <c r="C212" s="48" t="str">
        <f ca="1">IFERROR(__xludf.DUMMYFUNCTION("""COMPUTED_VALUE"""),"LELU")</f>
        <v>LELU</v>
      </c>
      <c r="D212" s="48" t="str">
        <f ca="1">IFERROR(__xludf.DUMMYFUNCTION("""COMPUTED_VALUE"""),"Tim")</f>
        <v>Tim</v>
      </c>
      <c r="E212" s="49" t="str">
        <f ca="1">IFERROR(__xludf.DUMMYFUNCTION("""COMPUTED_VALUE"""),"06540111")</f>
        <v>06540111</v>
      </c>
      <c r="F212" s="48" t="str">
        <f ca="1">IFERROR(__xludf.DUMMYFUNCTION("""COMPUTED_VALUE"""),"VILLEY SAINT ETIENNE MJC")</f>
        <v>VILLEY SAINT ETIENNE MJC</v>
      </c>
      <c r="G212" s="50" t="str">
        <f ca="1">IFERROR(__xludf.DUMMYFUNCTION("""COMPUTED_VALUE"""),"CD54")</f>
        <v>CD54</v>
      </c>
      <c r="H212" s="50" t="str">
        <f ca="1">IFERROR(__xludf.DUMMYFUNCTION("""COMPUTED_VALUE"""),"actif")</f>
        <v>actif</v>
      </c>
    </row>
    <row r="213" spans="1:8" ht="12.75">
      <c r="A213" s="46">
        <f ca="1">IFERROR(__xludf.DUMMYFUNCTION("""COMPUTED_VALUE"""),201)</f>
        <v>201</v>
      </c>
      <c r="B213" s="47" t="str">
        <f ca="1">IFERROR(__xludf.DUMMYFUNCTION("""COMPUTED_VALUE"""),"0811213")</f>
        <v>0811213</v>
      </c>
      <c r="C213" s="48" t="str">
        <f ca="1">IFERROR(__xludf.DUMMYFUNCTION("""COMPUTED_VALUE"""),"LEMONT")</f>
        <v>LEMONT</v>
      </c>
      <c r="D213" s="48" t="str">
        <f ca="1">IFERROR(__xludf.DUMMYFUNCTION("""COMPUTED_VALUE"""),"Nathan")</f>
        <v>Nathan</v>
      </c>
      <c r="E213" s="49" t="str">
        <f ca="1">IFERROR(__xludf.DUMMYFUNCTION("""COMPUTED_VALUE"""),"06080013")</f>
        <v>06080013</v>
      </c>
      <c r="F213" s="48" t="str">
        <f ca="1">IFERROR(__xludf.DUMMYFUNCTION("""COMPUTED_VALUE"""),"TAGNON PPC")</f>
        <v>TAGNON PPC</v>
      </c>
      <c r="G213" s="50" t="str">
        <f ca="1">IFERROR(__xludf.DUMMYFUNCTION("""COMPUTED_VALUE"""),"CD08")</f>
        <v>CD08</v>
      </c>
      <c r="H213" s="50" t="str">
        <f ca="1">IFERROR(__xludf.DUMMYFUNCTION("""COMPUTED_VALUE"""),"actif")</f>
        <v>actif</v>
      </c>
    </row>
    <row r="214" spans="1:8" ht="12.75">
      <c r="A214" s="46">
        <f ca="1">IFERROR(__xludf.DUMMYFUNCTION("""COMPUTED_VALUE"""),202)</f>
        <v>202</v>
      </c>
      <c r="B214" s="47" t="str">
        <f ca="1">IFERROR(__xludf.DUMMYFUNCTION("""COMPUTED_VALUE"""),"559070")</f>
        <v>559070</v>
      </c>
      <c r="C214" s="48" t="str">
        <f ca="1">IFERROR(__xludf.DUMMYFUNCTION("""COMPUTED_VALUE"""),"LEQUELLEC")</f>
        <v>LEQUELLEC</v>
      </c>
      <c r="D214" s="48" t="str">
        <f ca="1">IFERROR(__xludf.DUMMYFUNCTION("""COMPUTED_VALUE"""),"Stephane")</f>
        <v>Stephane</v>
      </c>
      <c r="E214" s="49" t="str">
        <f ca="1">IFERROR(__xludf.DUMMYFUNCTION("""COMPUTED_VALUE"""),"06550003")</f>
        <v>06550003</v>
      </c>
      <c r="F214" s="48" t="str">
        <f ca="1">IFERROR(__xludf.DUMMYFUNCTION("""COMPUTED_VALUE"""),"COMMERCY P.P.C.")</f>
        <v>COMMERCY P.P.C.</v>
      </c>
      <c r="G214" s="50" t="str">
        <f ca="1">IFERROR(__xludf.DUMMYFUNCTION("""COMPUTED_VALUE"""),"CD55")</f>
        <v>CD55</v>
      </c>
      <c r="H214" s="50" t="str">
        <f ca="1">IFERROR(__xludf.DUMMYFUNCTION("""COMPUTED_VALUE"""),"actif")</f>
        <v>actif</v>
      </c>
    </row>
    <row r="215" spans="1:8" ht="12.75">
      <c r="A215" s="46">
        <f ca="1">IFERROR(__xludf.DUMMYFUNCTION("""COMPUTED_VALUE"""),203)</f>
        <v>203</v>
      </c>
      <c r="B215" s="47" t="str">
        <f ca="1">IFERROR(__xludf.DUMMYFUNCTION("""COMPUTED_VALUE"""),"6720331")</f>
        <v>6720331</v>
      </c>
      <c r="C215" s="48" t="str">
        <f ca="1">IFERROR(__xludf.DUMMYFUNCTION("""COMPUTED_VALUE"""),"LESCOUT")</f>
        <v>LESCOUT</v>
      </c>
      <c r="D215" s="48" t="str">
        <f ca="1">IFERROR(__xludf.DUMMYFUNCTION("""COMPUTED_VALUE"""),"Robin")</f>
        <v>Robin</v>
      </c>
      <c r="E215" s="49" t="str">
        <f ca="1">IFERROR(__xludf.DUMMYFUNCTION("""COMPUTED_VALUE"""),"06670122")</f>
        <v>06670122</v>
      </c>
      <c r="F215" s="48" t="str">
        <f ca="1">IFERROR(__xludf.DUMMYFUNCTION("""COMPUTED_VALUE"""),"OBERNAI CA")</f>
        <v>OBERNAI CA</v>
      </c>
      <c r="G215" s="50" t="str">
        <f ca="1">IFERROR(__xludf.DUMMYFUNCTION("""COMPUTED_VALUE"""),"CD67")</f>
        <v>CD67</v>
      </c>
      <c r="H215" s="50" t="str">
        <f ca="1">IFERROR(__xludf.DUMMYFUNCTION("""COMPUTED_VALUE"""),"actif")</f>
        <v>actif</v>
      </c>
    </row>
    <row r="216" spans="1:8" ht="12.75">
      <c r="A216" s="46">
        <f ca="1">IFERROR(__xludf.DUMMYFUNCTION("""COMPUTED_VALUE"""),204)</f>
        <v>204</v>
      </c>
      <c r="B216" s="47" t="str">
        <f ca="1">IFERROR(__xludf.DUMMYFUNCTION("""COMPUTED_VALUE"""),"524211")</f>
        <v>524211</v>
      </c>
      <c r="C216" s="48" t="str">
        <f ca="1">IFERROR(__xludf.DUMMYFUNCTION("""COMPUTED_VALUE"""),"LHOMET")</f>
        <v>LHOMET</v>
      </c>
      <c r="D216" s="48" t="str">
        <f ca="1">IFERROR(__xludf.DUMMYFUNCTION("""COMPUTED_VALUE"""),"Marine")</f>
        <v>Marine</v>
      </c>
      <c r="E216" s="49" t="str">
        <f ca="1">IFERROR(__xludf.DUMMYFUNCTION("""COMPUTED_VALUE"""),"06550013")</f>
        <v>06550013</v>
      </c>
      <c r="F216" s="48" t="str">
        <f ca="1">IFERROR(__xludf.DUMMYFUNCTION("""COMPUTED_VALUE"""),"VERDUN S.A.V.T.T.")</f>
        <v>VERDUN S.A.V.T.T.</v>
      </c>
      <c r="G216" s="50" t="str">
        <f ca="1">IFERROR(__xludf.DUMMYFUNCTION("""COMPUTED_VALUE"""),"CD55")</f>
        <v>CD55</v>
      </c>
      <c r="H216" s="50" t="str">
        <f ca="1">IFERROR(__xludf.DUMMYFUNCTION("""COMPUTED_VALUE"""),"actif")</f>
        <v>actif</v>
      </c>
    </row>
    <row r="217" spans="1:8" ht="12.75">
      <c r="A217" s="46">
        <f ca="1">IFERROR(__xludf.DUMMYFUNCTION("""COMPUTED_VALUE"""),205)</f>
        <v>205</v>
      </c>
      <c r="B217" s="47" t="str">
        <f ca="1">IFERROR(__xludf.DUMMYFUNCTION("""COMPUTED_VALUE"""),"5714164")</f>
        <v>5714164</v>
      </c>
      <c r="C217" s="48" t="str">
        <f ca="1">IFERROR(__xludf.DUMMYFUNCTION("""COMPUTED_VALUE"""),"LIEGEOIS")</f>
        <v>LIEGEOIS</v>
      </c>
      <c r="D217" s="48" t="str">
        <f ca="1">IFERROR(__xludf.DUMMYFUNCTION("""COMPUTED_VALUE"""),"Julien")</f>
        <v>Julien</v>
      </c>
      <c r="E217" s="49" t="str">
        <f ca="1">IFERROR(__xludf.DUMMYFUNCTION("""COMPUTED_VALUE"""),"06540201")</f>
        <v>06540201</v>
      </c>
      <c r="F217" s="48" t="str">
        <f ca="1">IFERROR(__xludf.DUMMYFUNCTION("""COMPUTED_VALUE"""),"JOEUF Tennis de Table")</f>
        <v>JOEUF Tennis de Table</v>
      </c>
      <c r="G217" s="50" t="str">
        <f ca="1">IFERROR(__xludf.DUMMYFUNCTION("""COMPUTED_VALUE"""),"CD54")</f>
        <v>CD54</v>
      </c>
      <c r="H217" s="50" t="str">
        <f ca="1">IFERROR(__xludf.DUMMYFUNCTION("""COMPUTED_VALUE"""),"actif")</f>
        <v>actif</v>
      </c>
    </row>
    <row r="218" spans="1:8" ht="12.75">
      <c r="A218" s="46">
        <f ca="1">IFERROR(__xludf.DUMMYFUNCTION("""COMPUTED_VALUE"""),206)</f>
        <v>206</v>
      </c>
      <c r="B218" s="47" t="str">
        <f ca="1">IFERROR(__xludf.DUMMYFUNCTION("""COMPUTED_VALUE"""),"5434060")</f>
        <v>5434060</v>
      </c>
      <c r="C218" s="48" t="str">
        <f ca="1">IFERROR(__xludf.DUMMYFUNCTION("""COMPUTED_VALUE"""),"LU")</f>
        <v>LU</v>
      </c>
      <c r="D218" s="48" t="str">
        <f ca="1">IFERROR(__xludf.DUMMYFUNCTION("""COMPUTED_VALUE"""),"Gabin")</f>
        <v>Gabin</v>
      </c>
      <c r="E218" s="49" t="str">
        <f ca="1">IFERROR(__xludf.DUMMYFUNCTION("""COMPUTED_VALUE"""),"06540040")</f>
        <v>06540040</v>
      </c>
      <c r="F218" s="48" t="str">
        <f ca="1">IFERROR(__xludf.DUMMYFUNCTION("""COMPUTED_VALUE"""),"VILLERS LES NANCY C.O.S.")</f>
        <v>VILLERS LES NANCY C.O.S.</v>
      </c>
      <c r="G218" s="50" t="str">
        <f ca="1">IFERROR(__xludf.DUMMYFUNCTION("""COMPUTED_VALUE"""),"CD54")</f>
        <v>CD54</v>
      </c>
      <c r="H218" s="50" t="str">
        <f ca="1">IFERROR(__xludf.DUMMYFUNCTION("""COMPUTED_VALUE"""),"actif")</f>
        <v>actif</v>
      </c>
    </row>
    <row r="219" spans="1:8" ht="12.75">
      <c r="A219" s="46">
        <f ca="1">IFERROR(__xludf.DUMMYFUNCTION("""COMPUTED_VALUE"""),207)</f>
        <v>207</v>
      </c>
      <c r="B219" s="47" t="str">
        <f ca="1">IFERROR(__xludf.DUMMYFUNCTION("""COMPUTED_VALUE"""),"5736459")</f>
        <v>5736459</v>
      </c>
      <c r="C219" s="48" t="str">
        <f ca="1">IFERROR(__xludf.DUMMYFUNCTION("""COMPUTED_VALUE"""),"LUDMANN")</f>
        <v>LUDMANN</v>
      </c>
      <c r="D219" s="48" t="str">
        <f ca="1">IFERROR(__xludf.DUMMYFUNCTION("""COMPUTED_VALUE"""),"Ryan")</f>
        <v>Ryan</v>
      </c>
      <c r="E219" s="49" t="str">
        <f ca="1">IFERROR(__xludf.DUMMYFUNCTION("""COMPUTED_VALUE"""),"06570005")</f>
        <v>06570005</v>
      </c>
      <c r="F219" s="48" t="str">
        <f ca="1">IFERROR(__xludf.DUMMYFUNCTION("""COMPUTED_VALUE"""),"FAULQUEMONT E.S.C.")</f>
        <v>FAULQUEMONT E.S.C.</v>
      </c>
      <c r="G219" s="50" t="str">
        <f ca="1">IFERROR(__xludf.DUMMYFUNCTION("""COMPUTED_VALUE"""),"CD57")</f>
        <v>CD57</v>
      </c>
      <c r="H219" s="50" t="str">
        <f ca="1">IFERROR(__xludf.DUMMYFUNCTION("""COMPUTED_VALUE"""),"actif")</f>
        <v>actif</v>
      </c>
    </row>
    <row r="220" spans="1:8" ht="12.75">
      <c r="A220" s="46">
        <f ca="1">IFERROR(__xludf.DUMMYFUNCTION("""COMPUTED_VALUE"""),208)</f>
        <v>208</v>
      </c>
      <c r="B220" s="47" t="str">
        <f ca="1">IFERROR(__xludf.DUMMYFUNCTION("""COMPUTED_VALUE"""),"5737299")</f>
        <v>5737299</v>
      </c>
      <c r="C220" s="48" t="str">
        <f ca="1">IFERROR(__xludf.DUMMYFUNCTION("""COMPUTED_VALUE"""),"LUDMANN")</f>
        <v>LUDMANN</v>
      </c>
      <c r="D220" s="48" t="str">
        <f ca="1">IFERROR(__xludf.DUMMYFUNCTION("""COMPUTED_VALUE"""),"Christophe")</f>
        <v>Christophe</v>
      </c>
      <c r="E220" s="49" t="str">
        <f ca="1">IFERROR(__xludf.DUMMYFUNCTION("""COMPUTED_VALUE"""),"06570005")</f>
        <v>06570005</v>
      </c>
      <c r="F220" s="48" t="str">
        <f ca="1">IFERROR(__xludf.DUMMYFUNCTION("""COMPUTED_VALUE"""),"FAULQUEMONT E.S.C.")</f>
        <v>FAULQUEMONT E.S.C.</v>
      </c>
      <c r="G220" s="50" t="str">
        <f ca="1">IFERROR(__xludf.DUMMYFUNCTION("""COMPUTED_VALUE"""),"CD57")</f>
        <v>CD57</v>
      </c>
      <c r="H220" s="50" t="str">
        <f ca="1">IFERROR(__xludf.DUMMYFUNCTION("""COMPUTED_VALUE"""),"actif")</f>
        <v>actif</v>
      </c>
    </row>
    <row r="221" spans="1:8" ht="12.75">
      <c r="A221" s="46">
        <f ca="1">IFERROR(__xludf.DUMMYFUNCTION("""COMPUTED_VALUE"""),209)</f>
        <v>209</v>
      </c>
      <c r="B221" s="47" t="str">
        <f ca="1">IFERROR(__xludf.DUMMYFUNCTION("""COMPUTED_VALUE"""),"679330")</f>
        <v>679330</v>
      </c>
      <c r="C221" s="48" t="str">
        <f ca="1">IFERROR(__xludf.DUMMYFUNCTION("""COMPUTED_VALUE"""),"LUONG")</f>
        <v>LUONG</v>
      </c>
      <c r="D221" s="48" t="str">
        <f ca="1">IFERROR(__xludf.DUMMYFUNCTION("""COMPUTED_VALUE"""),"Trieu-Han")</f>
        <v>Trieu-Han</v>
      </c>
      <c r="E221" s="49" t="str">
        <f ca="1">IFERROR(__xludf.DUMMYFUNCTION("""COMPUTED_VALUE"""),"06670248")</f>
        <v>06670248</v>
      </c>
      <c r="F221" s="48" t="str">
        <f ca="1">IFERROR(__xludf.DUMMYFUNCTION("""COMPUTED_VALUE"""),"MARMOUTIER CSE")</f>
        <v>MARMOUTIER CSE</v>
      </c>
      <c r="G221" s="50" t="str">
        <f ca="1">IFERROR(__xludf.DUMMYFUNCTION("""COMPUTED_VALUE"""),"CD67")</f>
        <v>CD67</v>
      </c>
      <c r="H221" s="50" t="str">
        <f ca="1">IFERROR(__xludf.DUMMYFUNCTION("""COMPUTED_VALUE"""),"actif")</f>
        <v>actif</v>
      </c>
    </row>
    <row r="222" spans="1:8" ht="12.75">
      <c r="A222" s="46">
        <f ca="1">IFERROR(__xludf.DUMMYFUNCTION("""COMPUTED_VALUE"""),210)</f>
        <v>210</v>
      </c>
      <c r="B222" s="47" t="str">
        <f ca="1">IFERROR(__xludf.DUMMYFUNCTION("""COMPUTED_VALUE"""),"5418122")</f>
        <v>5418122</v>
      </c>
      <c r="C222" s="48" t="str">
        <f ca="1">IFERROR(__xludf.DUMMYFUNCTION("""COMPUTED_VALUE"""),"MACADRE")</f>
        <v>MACADRE</v>
      </c>
      <c r="D222" s="48" t="str">
        <f ca="1">IFERROR(__xludf.DUMMYFUNCTION("""COMPUTED_VALUE"""),"Aurelien")</f>
        <v>Aurelien</v>
      </c>
      <c r="E222" s="49" t="str">
        <f ca="1">IFERROR(__xludf.DUMMYFUNCTION("""COMPUTED_VALUE"""),"06540088")</f>
        <v>06540088</v>
      </c>
      <c r="F222" s="48" t="str">
        <f ca="1">IFERROR(__xludf.DUMMYFUNCTION("""COMPUTED_VALUE"""),"CHANTEHEUX TT")</f>
        <v>CHANTEHEUX TT</v>
      </c>
      <c r="G222" s="50" t="str">
        <f ca="1">IFERROR(__xludf.DUMMYFUNCTION("""COMPUTED_VALUE"""),"CD54")</f>
        <v>CD54</v>
      </c>
      <c r="H222" s="50" t="str">
        <f ca="1">IFERROR(__xludf.DUMMYFUNCTION("""COMPUTED_VALUE"""),"actif")</f>
        <v>actif</v>
      </c>
    </row>
    <row r="223" spans="1:8" ht="12.75">
      <c r="A223" s="46">
        <f ca="1">IFERROR(__xludf.DUMMYFUNCTION("""COMPUTED_VALUE"""),211)</f>
        <v>211</v>
      </c>
      <c r="B223" s="47" t="str">
        <f ca="1">IFERROR(__xludf.DUMMYFUNCTION("""COMPUTED_VALUE"""),"8819301")</f>
        <v>8819301</v>
      </c>
      <c r="C223" s="48" t="str">
        <f ca="1">IFERROR(__xludf.DUMMYFUNCTION("""COMPUTED_VALUE"""),"MADEIRA")</f>
        <v>MADEIRA</v>
      </c>
      <c r="D223" s="48" t="str">
        <f ca="1">IFERROR(__xludf.DUMMYFUNCTION("""COMPUTED_VALUE"""),"Leo")</f>
        <v>Leo</v>
      </c>
      <c r="E223" s="49" t="str">
        <f ca="1">IFERROR(__xludf.DUMMYFUNCTION("""COMPUTED_VALUE"""),"06880123")</f>
        <v>06880123</v>
      </c>
      <c r="F223" s="48" t="str">
        <f ca="1">IFERROR(__xludf.DUMMYFUNCTION("""COMPUTED_VALUE"""),"ETIVAL ASRTT")</f>
        <v>ETIVAL ASRTT</v>
      </c>
      <c r="G223" s="50" t="str">
        <f ca="1">IFERROR(__xludf.DUMMYFUNCTION("""COMPUTED_VALUE"""),"CD88")</f>
        <v>CD88</v>
      </c>
      <c r="H223" s="50" t="str">
        <f ca="1">IFERROR(__xludf.DUMMYFUNCTION("""COMPUTED_VALUE"""),"actif")</f>
        <v>actif</v>
      </c>
    </row>
    <row r="224" spans="1:8" ht="12.75">
      <c r="A224" s="46">
        <f ca="1">IFERROR(__xludf.DUMMYFUNCTION("""COMPUTED_VALUE"""),212)</f>
        <v>212</v>
      </c>
      <c r="B224" s="47" t="str">
        <f ca="1">IFERROR(__xludf.DUMMYFUNCTION("""COMPUTED_VALUE"""),"6717352")</f>
        <v>6717352</v>
      </c>
      <c r="C224" s="48" t="str">
        <f ca="1">IFERROR(__xludf.DUMMYFUNCTION("""COMPUTED_VALUE"""),"MADER")</f>
        <v>MADER</v>
      </c>
      <c r="D224" s="48" t="str">
        <f ca="1">IFERROR(__xludf.DUMMYFUNCTION("""COMPUTED_VALUE"""),"Corentin")</f>
        <v>Corentin</v>
      </c>
      <c r="E224" s="49" t="str">
        <f ca="1">IFERROR(__xludf.DUMMYFUNCTION("""COMPUTED_VALUE"""),"06670183")</f>
        <v>06670183</v>
      </c>
      <c r="F224" s="48" t="str">
        <f ca="1">IFERROR(__xludf.DUMMYFUNCTION("""COMPUTED_VALUE"""),"FCJ BOOTZHEIM")</f>
        <v>FCJ BOOTZHEIM</v>
      </c>
      <c r="G224" s="50" t="str">
        <f ca="1">IFERROR(__xludf.DUMMYFUNCTION("""COMPUTED_VALUE"""),"CD67")</f>
        <v>CD67</v>
      </c>
      <c r="H224" s="50" t="str">
        <f ca="1">IFERROR(__xludf.DUMMYFUNCTION("""COMPUTED_VALUE"""),"actif")</f>
        <v>actif</v>
      </c>
    </row>
    <row r="225" spans="1:8" ht="12.75">
      <c r="A225" s="46">
        <f ca="1">IFERROR(__xludf.DUMMYFUNCTION("""COMPUTED_VALUE"""),213)</f>
        <v>213</v>
      </c>
      <c r="B225" s="47" t="str">
        <f ca="1">IFERROR(__xludf.DUMMYFUNCTION("""COMPUTED_VALUE"""),"559805")</f>
        <v>559805</v>
      </c>
      <c r="C225" s="48" t="str">
        <f ca="1">IFERROR(__xludf.DUMMYFUNCTION("""COMPUTED_VALUE"""),"MAILLARD")</f>
        <v>MAILLARD</v>
      </c>
      <c r="D225" s="48" t="str">
        <f ca="1">IFERROR(__xludf.DUMMYFUNCTION("""COMPUTED_VALUE"""),"Aline")</f>
        <v>Aline</v>
      </c>
      <c r="E225" s="49" t="str">
        <f ca="1">IFERROR(__xludf.DUMMYFUNCTION("""COMPUTED_VALUE"""),"06550003")</f>
        <v>06550003</v>
      </c>
      <c r="F225" s="48" t="str">
        <f ca="1">IFERROR(__xludf.DUMMYFUNCTION("""COMPUTED_VALUE"""),"COMMERCY P.P.C.")</f>
        <v>COMMERCY P.P.C.</v>
      </c>
      <c r="G225" s="50" t="str">
        <f ca="1">IFERROR(__xludf.DUMMYFUNCTION("""COMPUTED_VALUE"""),"CD55")</f>
        <v>CD55</v>
      </c>
      <c r="H225" s="50" t="str">
        <f ca="1">IFERROR(__xludf.DUMMYFUNCTION("""COMPUTED_VALUE"""),"actif")</f>
        <v>actif</v>
      </c>
    </row>
    <row r="226" spans="1:8" ht="12.75">
      <c r="A226" s="46">
        <f ca="1">IFERROR(__xludf.DUMMYFUNCTION("""COMPUTED_VALUE"""),214)</f>
        <v>214</v>
      </c>
      <c r="B226" s="47" t="str">
        <f ca="1">IFERROR(__xludf.DUMMYFUNCTION("""COMPUTED_VALUE"""),"5425603")</f>
        <v>5425603</v>
      </c>
      <c r="C226" s="48" t="str">
        <f ca="1">IFERROR(__xludf.DUMMYFUNCTION("""COMPUTED_VALUE"""),"MALGRAS")</f>
        <v>MALGRAS</v>
      </c>
      <c r="D226" s="48" t="str">
        <f ca="1">IFERROR(__xludf.DUMMYFUNCTION("""COMPUTED_VALUE"""),"Lizzie")</f>
        <v>Lizzie</v>
      </c>
      <c r="E226" s="49" t="str">
        <f ca="1">IFERROR(__xludf.DUMMYFUNCTION("""COMPUTED_VALUE"""),"06540021")</f>
        <v>06540021</v>
      </c>
      <c r="F226" s="48" t="str">
        <f ca="1">IFERROR(__xludf.DUMMYFUNCTION("""COMPUTED_VALUE"""),"LUNEVILLE A.L.T.T.")</f>
        <v>LUNEVILLE A.L.T.T.</v>
      </c>
      <c r="G226" s="50" t="str">
        <f ca="1">IFERROR(__xludf.DUMMYFUNCTION("""COMPUTED_VALUE"""),"CD54")</f>
        <v>CD54</v>
      </c>
      <c r="H226" s="50" t="str">
        <f ca="1">IFERROR(__xludf.DUMMYFUNCTION("""COMPUTED_VALUE"""),"actif")</f>
        <v>actif</v>
      </c>
    </row>
    <row r="227" spans="1:8" ht="12.75">
      <c r="A227" s="46">
        <f ca="1">IFERROR(__xludf.DUMMYFUNCTION("""COMPUTED_VALUE"""),215)</f>
        <v>215</v>
      </c>
      <c r="B227" s="47" t="str">
        <f ca="1">IFERROR(__xludf.DUMMYFUNCTION("""COMPUTED_VALUE"""),"558223")</f>
        <v>558223</v>
      </c>
      <c r="C227" s="48" t="str">
        <f ca="1">IFERROR(__xludf.DUMMYFUNCTION("""COMPUTED_VALUE"""),"MARE")</f>
        <v>MARE</v>
      </c>
      <c r="D227" s="48" t="str">
        <f ca="1">IFERROR(__xludf.DUMMYFUNCTION("""COMPUTED_VALUE"""),"Christophe")</f>
        <v>Christophe</v>
      </c>
      <c r="E227" s="49" t="str">
        <f ca="1">IFERROR(__xludf.DUMMYFUNCTION("""COMPUTED_VALUE"""),"06100048")</f>
        <v>06100048</v>
      </c>
      <c r="F227" s="48" t="str">
        <f ca="1">IFERROR(__xludf.DUMMYFUNCTION("""COMPUTED_VALUE"""),"BAR SUR AUBE Tennis de Table")</f>
        <v>BAR SUR AUBE Tennis de Table</v>
      </c>
      <c r="G227" s="50" t="str">
        <f ca="1">IFERROR(__xludf.DUMMYFUNCTION("""COMPUTED_VALUE"""),"CD10")</f>
        <v>CD10</v>
      </c>
      <c r="H227" s="50" t="str">
        <f ca="1">IFERROR(__xludf.DUMMYFUNCTION("""COMPUTED_VALUE"""),"actif")</f>
        <v>actif</v>
      </c>
    </row>
    <row r="228" spans="1:8" ht="12.75">
      <c r="A228" s="46">
        <f ca="1">IFERROR(__xludf.DUMMYFUNCTION("""COMPUTED_VALUE"""),216)</f>
        <v>216</v>
      </c>
      <c r="B228" s="47" t="str">
        <f ca="1">IFERROR(__xludf.DUMMYFUNCTION("""COMPUTED_VALUE"""),"3322033")</f>
        <v>3322033</v>
      </c>
      <c r="C228" s="48" t="str">
        <f ca="1">IFERROR(__xludf.DUMMYFUNCTION("""COMPUTED_VALUE"""),"MARSAUD")</f>
        <v>MARSAUD</v>
      </c>
      <c r="D228" s="48" t="str">
        <f ca="1">IFERROR(__xludf.DUMMYFUNCTION("""COMPUTED_VALUE"""),"Alexandre")</f>
        <v>Alexandre</v>
      </c>
      <c r="E228" s="49" t="str">
        <f ca="1">IFERROR(__xludf.DUMMYFUNCTION("""COMPUTED_VALUE"""),"06570024")</f>
        <v>06570024</v>
      </c>
      <c r="F228" s="48" t="str">
        <f ca="1">IFERROR(__xludf.DUMMYFUNCTION("""COMPUTED_VALUE"""),"THIONVILLE Tennis de Table")</f>
        <v>THIONVILLE Tennis de Table</v>
      </c>
      <c r="G228" s="50" t="str">
        <f ca="1">IFERROR(__xludf.DUMMYFUNCTION("""COMPUTED_VALUE"""),"CD57")</f>
        <v>CD57</v>
      </c>
      <c r="H228" s="50" t="str">
        <f ca="1">IFERROR(__xludf.DUMMYFUNCTION("""COMPUTED_VALUE"""),"actif")</f>
        <v>actif</v>
      </c>
    </row>
    <row r="229" spans="1:8" ht="12.75">
      <c r="A229" s="46">
        <f ca="1">IFERROR(__xludf.DUMMYFUNCTION("""COMPUTED_VALUE"""),217)</f>
        <v>217</v>
      </c>
      <c r="B229" s="47" t="str">
        <f ca="1">IFERROR(__xludf.DUMMYFUNCTION("""COMPUTED_VALUE"""),"0812755")</f>
        <v>0812755</v>
      </c>
      <c r="C229" s="48" t="str">
        <f ca="1">IFERROR(__xludf.DUMMYFUNCTION("""COMPUTED_VALUE"""),"MARTEL")</f>
        <v>MARTEL</v>
      </c>
      <c r="D229" s="48" t="str">
        <f ca="1">IFERROR(__xludf.DUMMYFUNCTION("""COMPUTED_VALUE"""),"Gregory")</f>
        <v>Gregory</v>
      </c>
      <c r="E229" s="49" t="str">
        <f ca="1">IFERROR(__xludf.DUMMYFUNCTION("""COMPUTED_VALUE"""),"06080014")</f>
        <v>06080014</v>
      </c>
      <c r="F229" s="48" t="str">
        <f ca="1">IFERROR(__xludf.DUMMYFUNCTION("""COMPUTED_VALUE"""),"REVIN - HAYBOISE TT")</f>
        <v>REVIN - HAYBOISE TT</v>
      </c>
      <c r="G229" s="50" t="str">
        <f ca="1">IFERROR(__xludf.DUMMYFUNCTION("""COMPUTED_VALUE"""),"CD08")</f>
        <v>CD08</v>
      </c>
      <c r="H229" s="50" t="str">
        <f ca="1">IFERROR(__xludf.DUMMYFUNCTION("""COMPUTED_VALUE"""),"actif")</f>
        <v>actif</v>
      </c>
    </row>
    <row r="230" spans="1:8" ht="12.75">
      <c r="A230" s="46">
        <f ca="1">IFERROR(__xludf.DUMMYFUNCTION("""COMPUTED_VALUE"""),218)</f>
        <v>218</v>
      </c>
      <c r="B230" s="47" t="str">
        <f ca="1">IFERROR(__xludf.DUMMYFUNCTION("""COMPUTED_VALUE"""),"557615")</f>
        <v>557615</v>
      </c>
      <c r="C230" s="48" t="str">
        <f ca="1">IFERROR(__xludf.DUMMYFUNCTION("""COMPUTED_VALUE"""),"MARTIN")</f>
        <v>MARTIN</v>
      </c>
      <c r="D230" s="48" t="str">
        <f ca="1">IFERROR(__xludf.DUMMYFUNCTION("""COMPUTED_VALUE"""),"Pierre")</f>
        <v>Pierre</v>
      </c>
      <c r="E230" s="49" t="str">
        <f ca="1">IFERROR(__xludf.DUMMYFUNCTION("""COMPUTED_VALUE"""),"06540056")</f>
        <v>06540056</v>
      </c>
      <c r="F230" s="48" t="str">
        <f ca="1">IFERROR(__xludf.DUMMYFUNCTION("""COMPUTED_VALUE"""),"HEILLECOURT LOISIRS RENCON")</f>
        <v>HEILLECOURT LOISIRS RENCON</v>
      </c>
      <c r="G230" s="52" t="str">
        <f ca="1">IFERROR(__xludf.DUMMYFUNCTION("""COMPUTED_VALUE"""),"CD54")</f>
        <v>CD54</v>
      </c>
      <c r="H230" s="50" t="str">
        <f ca="1">IFERROR(__xludf.DUMMYFUNCTION("""COMPUTED_VALUE"""),"actif")</f>
        <v>actif</v>
      </c>
    </row>
    <row r="231" spans="1:8" ht="12.75">
      <c r="A231" s="46">
        <f ca="1">IFERROR(__xludf.DUMMYFUNCTION("""COMPUTED_VALUE"""),219)</f>
        <v>219</v>
      </c>
      <c r="B231" s="47" t="str">
        <f ca="1">IFERROR(__xludf.DUMMYFUNCTION("""COMPUTED_VALUE"""),"5712294")</f>
        <v>5712294</v>
      </c>
      <c r="C231" s="48" t="str">
        <f ca="1">IFERROR(__xludf.DUMMYFUNCTION("""COMPUTED_VALUE"""),"MARTIN")</f>
        <v>MARTIN</v>
      </c>
      <c r="D231" s="48" t="str">
        <f ca="1">IFERROR(__xludf.DUMMYFUNCTION("""COMPUTED_VALUE"""),"Steve")</f>
        <v>Steve</v>
      </c>
      <c r="E231" s="49" t="str">
        <f ca="1">IFERROR(__xludf.DUMMYFUNCTION("""COMPUTED_VALUE"""),"06570111")</f>
        <v>06570111</v>
      </c>
      <c r="F231" s="48" t="str">
        <f ca="1">IFERROR(__xludf.DUMMYFUNCTION("""COMPUTED_VALUE"""),"SARREBOURG TT")</f>
        <v>SARREBOURG TT</v>
      </c>
      <c r="G231" s="50" t="str">
        <f ca="1">IFERROR(__xludf.DUMMYFUNCTION("""COMPUTED_VALUE"""),"CD57")</f>
        <v>CD57</v>
      </c>
      <c r="H231" s="50" t="str">
        <f ca="1">IFERROR(__xludf.DUMMYFUNCTION("""COMPUTED_VALUE"""),"actif")</f>
        <v>actif</v>
      </c>
    </row>
    <row r="232" spans="1:8" ht="12.75">
      <c r="A232" s="46">
        <f ca="1">IFERROR(__xludf.DUMMYFUNCTION("""COMPUTED_VALUE"""),220)</f>
        <v>220</v>
      </c>
      <c r="B232" s="47" t="str">
        <f ca="1">IFERROR(__xludf.DUMMYFUNCTION("""COMPUTED_VALUE"""),"8820711")</f>
        <v>8820711</v>
      </c>
      <c r="C232" s="48" t="str">
        <f ca="1">IFERROR(__xludf.DUMMYFUNCTION("""COMPUTED_VALUE"""),"MARTINAUD-MOSTER")</f>
        <v>MARTINAUD-MOSTER</v>
      </c>
      <c r="D232" s="48" t="str">
        <f ca="1">IFERROR(__xludf.DUMMYFUNCTION("""COMPUTED_VALUE"""),"Erin")</f>
        <v>Erin</v>
      </c>
      <c r="E232" s="49" t="str">
        <f ca="1">IFERROR(__xludf.DUMMYFUNCTION("""COMPUTED_VALUE"""),"06880145")</f>
        <v>06880145</v>
      </c>
      <c r="F232" s="48" t="str">
        <f ca="1">IFERROR(__xludf.DUMMYFUNCTION("""COMPUTED_VALUE"""),"THAON CHENIMENIL E.S.T.T.")</f>
        <v>THAON CHENIMENIL E.S.T.T.</v>
      </c>
      <c r="G232" s="50" t="str">
        <f ca="1">IFERROR(__xludf.DUMMYFUNCTION("""COMPUTED_VALUE"""),"CD88")</f>
        <v>CD88</v>
      </c>
      <c r="H232" s="50" t="str">
        <f ca="1">IFERROR(__xludf.DUMMYFUNCTION("""COMPUTED_VALUE"""),"actif")</f>
        <v>actif</v>
      </c>
    </row>
    <row r="233" spans="1:8" ht="12.75">
      <c r="A233" s="46">
        <f ca="1">IFERROR(__xludf.DUMMYFUNCTION("""COMPUTED_VALUE"""),221)</f>
        <v>221</v>
      </c>
      <c r="B233" s="47" t="str">
        <f ca="1">IFERROR(__xludf.DUMMYFUNCTION("""COMPUTED_VALUE"""),"5110747")</f>
        <v>5110747</v>
      </c>
      <c r="C233" s="48" t="str">
        <f ca="1">IFERROR(__xludf.DUMMYFUNCTION("""COMPUTED_VALUE"""),"MASSENAT")</f>
        <v>MASSENAT</v>
      </c>
      <c r="D233" s="48" t="str">
        <f ca="1">IFERROR(__xludf.DUMMYFUNCTION("""COMPUTED_VALUE"""),"Philippe")</f>
        <v>Philippe</v>
      </c>
      <c r="E233" s="49" t="str">
        <f ca="1">IFERROR(__xludf.DUMMYFUNCTION("""COMPUTED_VALUE"""),"06510019")</f>
        <v>06510019</v>
      </c>
      <c r="F233" s="48" t="str">
        <f ca="1">IFERROR(__xludf.DUMMYFUNCTION("""COMPUTED_VALUE"""),"TAISSY ASTT")</f>
        <v>TAISSY ASTT</v>
      </c>
      <c r="G233" s="50" t="str">
        <f ca="1">IFERROR(__xludf.DUMMYFUNCTION("""COMPUTED_VALUE"""),"CD51")</f>
        <v>CD51</v>
      </c>
      <c r="H233" s="50" t="str">
        <f ca="1">IFERROR(__xludf.DUMMYFUNCTION("""COMPUTED_VALUE"""),"actif")</f>
        <v>actif</v>
      </c>
    </row>
    <row r="234" spans="1:8" ht="12.75">
      <c r="A234" s="46">
        <f ca="1">IFERROR(__xludf.DUMMYFUNCTION("""COMPUTED_VALUE"""),222)</f>
        <v>222</v>
      </c>
      <c r="B234" s="47" t="str">
        <f ca="1">IFERROR(__xludf.DUMMYFUNCTION("""COMPUTED_VALUE"""),"685958")</f>
        <v>685958</v>
      </c>
      <c r="C234" s="48" t="str">
        <f ca="1">IFERROR(__xludf.DUMMYFUNCTION("""COMPUTED_VALUE"""),"MASSON")</f>
        <v>MASSON</v>
      </c>
      <c r="D234" s="48" t="str">
        <f ca="1">IFERROR(__xludf.DUMMYFUNCTION("""COMPUTED_VALUE"""),"Jean-Paul")</f>
        <v>Jean-Paul</v>
      </c>
      <c r="E234" s="49" t="str">
        <f ca="1">IFERROR(__xludf.DUMMYFUNCTION("""COMPUTED_VALUE"""),"06680119")</f>
        <v>06680119</v>
      </c>
      <c r="F234" s="48" t="str">
        <f ca="1">IFERROR(__xludf.DUMMYFUNCTION("""COMPUTED_VALUE"""),"COLMAR C.C.C. T.T.")</f>
        <v>COLMAR C.C.C. T.T.</v>
      </c>
      <c r="G234" s="50" t="str">
        <f ca="1">IFERROR(__xludf.DUMMYFUNCTION("""COMPUTED_VALUE"""),"CD68")</f>
        <v>CD68</v>
      </c>
      <c r="H234" s="50" t="str">
        <f ca="1">IFERROR(__xludf.DUMMYFUNCTION("""COMPUTED_VALUE"""),"actif")</f>
        <v>actif</v>
      </c>
    </row>
    <row r="235" spans="1:8" ht="12.75">
      <c r="A235" s="46">
        <f ca="1">IFERROR(__xludf.DUMMYFUNCTION("""COMPUTED_VALUE"""),223)</f>
        <v>223</v>
      </c>
      <c r="B235" s="47" t="str">
        <f ca="1">IFERROR(__xludf.DUMMYFUNCTION("""COMPUTED_VALUE"""),"5420747")</f>
        <v>5420747</v>
      </c>
      <c r="C235" s="48" t="str">
        <f ca="1">IFERROR(__xludf.DUMMYFUNCTION("""COMPUTED_VALUE"""),"MATHIEU")</f>
        <v>MATHIEU</v>
      </c>
      <c r="D235" s="48" t="str">
        <f ca="1">IFERROR(__xludf.DUMMYFUNCTION("""COMPUTED_VALUE"""),"Malaurie")</f>
        <v>Malaurie</v>
      </c>
      <c r="E235" s="49" t="str">
        <f ca="1">IFERROR(__xludf.DUMMYFUNCTION("""COMPUTED_VALUE"""),"06670221")</f>
        <v>06670221</v>
      </c>
      <c r="F235" s="48" t="str">
        <f ca="1">IFERROR(__xludf.DUMMYFUNCTION("""COMPUTED_VALUE"""),"BARR Tennis de Table")</f>
        <v>BARR Tennis de Table</v>
      </c>
      <c r="G235" s="50" t="str">
        <f ca="1">IFERROR(__xludf.DUMMYFUNCTION("""COMPUTED_VALUE"""),"CD67")</f>
        <v>CD67</v>
      </c>
      <c r="H235" s="50" t="str">
        <f ca="1">IFERROR(__xludf.DUMMYFUNCTION("""COMPUTED_VALUE"""),"actif")</f>
        <v>actif</v>
      </c>
    </row>
    <row r="236" spans="1:8" ht="12.75">
      <c r="A236" s="46">
        <f ca="1">IFERROR(__xludf.DUMMYFUNCTION("""COMPUTED_VALUE"""),224)</f>
        <v>224</v>
      </c>
      <c r="B236" s="47" t="str">
        <f ca="1">IFERROR(__xludf.DUMMYFUNCTION("""COMPUTED_VALUE"""),"557131")</f>
        <v>557131</v>
      </c>
      <c r="C236" s="48" t="str">
        <f ca="1">IFERROR(__xludf.DUMMYFUNCTION("""COMPUTED_VALUE"""),"MATHIEU")</f>
        <v>MATHIEU</v>
      </c>
      <c r="D236" s="48" t="str">
        <f ca="1">IFERROR(__xludf.DUMMYFUNCTION("""COMPUTED_VALUE"""),"Allan")</f>
        <v>Allan</v>
      </c>
      <c r="E236" s="49" t="str">
        <f ca="1">IFERROR(__xludf.DUMMYFUNCTION("""COMPUTED_VALUE"""),"06540014")</f>
        <v>06540014</v>
      </c>
      <c r="F236" s="48" t="str">
        <f ca="1">IFERROR(__xludf.DUMMYFUNCTION("""COMPUTED_VALUE"""),"HERSERANGE ASTT")</f>
        <v>HERSERANGE ASTT</v>
      </c>
      <c r="G236" s="50" t="str">
        <f ca="1">IFERROR(__xludf.DUMMYFUNCTION("""COMPUTED_VALUE"""),"CD54")</f>
        <v>CD54</v>
      </c>
      <c r="H236" s="50" t="str">
        <f ca="1">IFERROR(__xludf.DUMMYFUNCTION("""COMPUTED_VALUE"""),"actif")</f>
        <v>actif</v>
      </c>
    </row>
    <row r="237" spans="1:8" ht="12.75">
      <c r="A237" s="46">
        <f ca="1">IFERROR(__xludf.DUMMYFUNCTION("""COMPUTED_VALUE"""),225)</f>
        <v>225</v>
      </c>
      <c r="B237" s="47" t="str">
        <f ca="1">IFERROR(__xludf.DUMMYFUNCTION("""COMPUTED_VALUE"""),"6714423")</f>
        <v>6714423</v>
      </c>
      <c r="C237" s="48" t="str">
        <f ca="1">IFERROR(__xludf.DUMMYFUNCTION("""COMPUTED_VALUE"""),"MAURER")</f>
        <v>MAURER</v>
      </c>
      <c r="D237" s="48" t="str">
        <f ca="1">IFERROR(__xludf.DUMMYFUNCTION("""COMPUTED_VALUE"""),"Jerome")</f>
        <v>Jerome</v>
      </c>
      <c r="E237" s="49" t="str">
        <f ca="1">IFERROR(__xludf.DUMMYFUNCTION("""COMPUTED_VALUE"""),"06670248")</f>
        <v>06670248</v>
      </c>
      <c r="F237" s="48" t="str">
        <f ca="1">IFERROR(__xludf.DUMMYFUNCTION("""COMPUTED_VALUE"""),"MARMOUTIER CSE")</f>
        <v>MARMOUTIER CSE</v>
      </c>
      <c r="G237" s="50" t="str">
        <f ca="1">IFERROR(__xludf.DUMMYFUNCTION("""COMPUTED_VALUE"""),"CD67")</f>
        <v>CD67</v>
      </c>
      <c r="H237" s="50" t="str">
        <f ca="1">IFERROR(__xludf.DUMMYFUNCTION("""COMPUTED_VALUE"""),"actif")</f>
        <v>actif</v>
      </c>
    </row>
    <row r="238" spans="1:8" ht="12.75">
      <c r="A238" s="46">
        <f ca="1">IFERROR(__xludf.DUMMYFUNCTION("""COMPUTED_VALUE"""),226)</f>
        <v>226</v>
      </c>
      <c r="B238" s="47" t="str">
        <f ca="1">IFERROR(__xludf.DUMMYFUNCTION("""COMPUTED_VALUE"""),"6811199")</f>
        <v>6811199</v>
      </c>
      <c r="C238" s="48" t="str">
        <f ca="1">IFERROR(__xludf.DUMMYFUNCTION("""COMPUTED_VALUE"""),"MAZON")</f>
        <v>MAZON</v>
      </c>
      <c r="D238" s="48" t="str">
        <f ca="1">IFERROR(__xludf.DUMMYFUNCTION("""COMPUTED_VALUE"""),"Jean-Pierre")</f>
        <v>Jean-Pierre</v>
      </c>
      <c r="E238" s="49" t="str">
        <f ca="1">IFERROR(__xludf.DUMMYFUNCTION("""COMPUTED_VALUE"""),"06680119")</f>
        <v>06680119</v>
      </c>
      <c r="F238" s="48" t="str">
        <f ca="1">IFERROR(__xludf.DUMMYFUNCTION("""COMPUTED_VALUE"""),"COLMAR C.C.C. T.T.")</f>
        <v>COLMAR C.C.C. T.T.</v>
      </c>
      <c r="G238" s="50" t="str">
        <f ca="1">IFERROR(__xludf.DUMMYFUNCTION("""COMPUTED_VALUE"""),"CD68")</f>
        <v>CD68</v>
      </c>
      <c r="H238" s="50" t="str">
        <f ca="1">IFERROR(__xludf.DUMMYFUNCTION("""COMPUTED_VALUE"""),"actif")</f>
        <v>actif</v>
      </c>
    </row>
    <row r="239" spans="1:8" ht="12.75">
      <c r="A239" s="46">
        <f ca="1">IFERROR(__xludf.DUMMYFUNCTION("""COMPUTED_VALUE"""),227)</f>
        <v>227</v>
      </c>
      <c r="B239" s="47" t="str">
        <f ca="1">IFERROR(__xludf.DUMMYFUNCTION("""COMPUTED_VALUE"""),"5723486")</f>
        <v>5723486</v>
      </c>
      <c r="C239" s="48" t="str">
        <f ca="1">IFERROR(__xludf.DUMMYFUNCTION("""COMPUTED_VALUE"""),"MAZZER")</f>
        <v>MAZZER</v>
      </c>
      <c r="D239" s="48" t="str">
        <f ca="1">IFERROR(__xludf.DUMMYFUNCTION("""COMPUTED_VALUE"""),"Dominique")</f>
        <v>Dominique</v>
      </c>
      <c r="E239" s="49" t="str">
        <f ca="1">IFERROR(__xludf.DUMMYFUNCTION("""COMPUTED_VALUE"""),"06670248")</f>
        <v>06670248</v>
      </c>
      <c r="F239" s="48" t="str">
        <f ca="1">IFERROR(__xludf.DUMMYFUNCTION("""COMPUTED_VALUE"""),"MARMOUTIER CSE")</f>
        <v>MARMOUTIER CSE</v>
      </c>
      <c r="G239" s="50" t="str">
        <f ca="1">IFERROR(__xludf.DUMMYFUNCTION("""COMPUTED_VALUE"""),"CD67")</f>
        <v>CD67</v>
      </c>
      <c r="H239" s="50" t="str">
        <f ca="1">IFERROR(__xludf.DUMMYFUNCTION("""COMPUTED_VALUE"""),"actif")</f>
        <v>actif</v>
      </c>
    </row>
    <row r="240" spans="1:8" ht="12.75">
      <c r="A240" s="46">
        <f ca="1">IFERROR(__xludf.DUMMYFUNCTION("""COMPUTED_VALUE"""),228)</f>
        <v>228</v>
      </c>
      <c r="B240" s="47" t="str">
        <f ca="1">IFERROR(__xludf.DUMMYFUNCTION("""COMPUTED_VALUE"""),"6731793")</f>
        <v>6731793</v>
      </c>
      <c r="C240" s="48" t="str">
        <f ca="1">IFERROR(__xludf.DUMMYFUNCTION("""COMPUTED_VALUE"""),"MEHL")</f>
        <v>MEHL</v>
      </c>
      <c r="D240" s="48" t="str">
        <f ca="1">IFERROR(__xludf.DUMMYFUNCTION("""COMPUTED_VALUE"""),"Tyméo")</f>
        <v>Tyméo</v>
      </c>
      <c r="E240" s="49" t="str">
        <f ca="1">IFERROR(__xludf.DUMMYFUNCTION("""COMPUTED_VALUE"""),"06670122")</f>
        <v>06670122</v>
      </c>
      <c r="F240" s="48" t="str">
        <f ca="1">IFERROR(__xludf.DUMMYFUNCTION("""COMPUTED_VALUE"""),"OBERNAI CA")</f>
        <v>OBERNAI CA</v>
      </c>
      <c r="G240" s="50" t="str">
        <f ca="1">IFERROR(__xludf.DUMMYFUNCTION("""COMPUTED_VALUE"""),"CD67")</f>
        <v>CD67</v>
      </c>
      <c r="H240" s="50" t="str">
        <f ca="1">IFERROR(__xludf.DUMMYFUNCTION("""COMPUTED_VALUE"""),"actif")</f>
        <v>actif</v>
      </c>
    </row>
    <row r="241" spans="1:8" ht="12.75">
      <c r="A241" s="46">
        <f ca="1">IFERROR(__xludf.DUMMYFUNCTION("""COMPUTED_VALUE"""),229)</f>
        <v>229</v>
      </c>
      <c r="B241" s="47" t="str">
        <f ca="1">IFERROR(__xludf.DUMMYFUNCTION("""COMPUTED_VALUE"""),"519330")</f>
        <v>519330</v>
      </c>
      <c r="C241" s="48" t="str">
        <f ca="1">IFERROR(__xludf.DUMMYFUNCTION("""COMPUTED_VALUE"""),"MERLE")</f>
        <v>MERLE</v>
      </c>
      <c r="D241" s="48" t="str">
        <f ca="1">IFERROR(__xludf.DUMMYFUNCTION("""COMPUTED_VALUE"""),"Maxime")</f>
        <v>Maxime</v>
      </c>
      <c r="E241" s="49" t="str">
        <f ca="1">IFERROR(__xludf.DUMMYFUNCTION("""COMPUTED_VALUE"""),"06510018")</f>
        <v>06510018</v>
      </c>
      <c r="F241" s="48" t="str">
        <f ca="1">IFERROR(__xludf.DUMMYFUNCTION("""COMPUTED_VALUE"""),"REIMS ASPTT")</f>
        <v>REIMS ASPTT</v>
      </c>
      <c r="G241" s="50" t="str">
        <f ca="1">IFERROR(__xludf.DUMMYFUNCTION("""COMPUTED_VALUE"""),"CD51")</f>
        <v>CD51</v>
      </c>
      <c r="H241" s="50" t="str">
        <f ca="1">IFERROR(__xludf.DUMMYFUNCTION("""COMPUTED_VALUE"""),"actif")</f>
        <v>actif</v>
      </c>
    </row>
    <row r="242" spans="1:8" ht="12.75">
      <c r="A242" s="46">
        <f ca="1">IFERROR(__xludf.DUMMYFUNCTION("""COMPUTED_VALUE"""),230)</f>
        <v>230</v>
      </c>
      <c r="B242" s="47" t="str">
        <f ca="1">IFERROR(__xludf.DUMMYFUNCTION("""COMPUTED_VALUE"""),"5413817")</f>
        <v>5413817</v>
      </c>
      <c r="C242" s="48" t="str">
        <f ca="1">IFERROR(__xludf.DUMMYFUNCTION("""COMPUTED_VALUE"""),"MEXIQUE")</f>
        <v>MEXIQUE</v>
      </c>
      <c r="D242" s="48" t="str">
        <f ca="1">IFERROR(__xludf.DUMMYFUNCTION("""COMPUTED_VALUE"""),"Matthieu")</f>
        <v>Matthieu</v>
      </c>
      <c r="E242" s="49" t="str">
        <f ca="1">IFERROR(__xludf.DUMMYFUNCTION("""COMPUTED_VALUE"""),"06540115")</f>
        <v>06540115</v>
      </c>
      <c r="F242" s="48" t="str">
        <f ca="1">IFERROR(__xludf.DUMMYFUNCTION("""COMPUTED_VALUE"""),"HERIMENIL T.T.")</f>
        <v>HERIMENIL T.T.</v>
      </c>
      <c r="G242" s="50" t="str">
        <f ca="1">IFERROR(__xludf.DUMMYFUNCTION("""COMPUTED_VALUE"""),"CD54")</f>
        <v>CD54</v>
      </c>
      <c r="H242" s="50" t="str">
        <f ca="1">IFERROR(__xludf.DUMMYFUNCTION("""COMPUTED_VALUE"""),"actif")</f>
        <v>actif</v>
      </c>
    </row>
    <row r="243" spans="1:8" ht="12.75">
      <c r="A243" s="46">
        <f ca="1">IFERROR(__xludf.DUMMYFUNCTION("""COMPUTED_VALUE"""),231)</f>
        <v>231</v>
      </c>
      <c r="B243" s="47" t="str">
        <f ca="1">IFERROR(__xludf.DUMMYFUNCTION("""COMPUTED_VALUE"""),"676653")</f>
        <v>676653</v>
      </c>
      <c r="C243" s="48" t="str">
        <f ca="1">IFERROR(__xludf.DUMMYFUNCTION("""COMPUTED_VALUE"""),"MEYER")</f>
        <v>MEYER</v>
      </c>
      <c r="D243" s="48" t="str">
        <f ca="1">IFERROR(__xludf.DUMMYFUNCTION("""COMPUTED_VALUE"""),"Christophe")</f>
        <v>Christophe</v>
      </c>
      <c r="E243" s="49" t="str">
        <f ca="1">IFERROR(__xludf.DUMMYFUNCTION("""COMPUTED_VALUE"""),"06670160")</f>
        <v>06670160</v>
      </c>
      <c r="F243" s="48" t="str">
        <f ca="1">IFERROR(__xludf.DUMMYFUNCTION("""COMPUTED_VALUE"""),"T.T.Haguenau Wissembourg")</f>
        <v>T.T.Haguenau Wissembourg</v>
      </c>
      <c r="G243" s="50" t="str">
        <f ca="1">IFERROR(__xludf.DUMMYFUNCTION("""COMPUTED_VALUE"""),"CD67")</f>
        <v>CD67</v>
      </c>
      <c r="H243" s="50" t="str">
        <f ca="1">IFERROR(__xludf.DUMMYFUNCTION("""COMPUTED_VALUE"""),"actif")</f>
        <v>actif</v>
      </c>
    </row>
    <row r="244" spans="1:8" ht="12.75">
      <c r="A244" s="46">
        <f ca="1">IFERROR(__xludf.DUMMYFUNCTION("""COMPUTED_VALUE"""),232)</f>
        <v>232</v>
      </c>
      <c r="B244" s="47" t="str">
        <f ca="1">IFERROR(__xludf.DUMMYFUNCTION("""COMPUTED_VALUE"""),"5722723")</f>
        <v>5722723</v>
      </c>
      <c r="C244" s="48" t="str">
        <f ca="1">IFERROR(__xludf.DUMMYFUNCTION("""COMPUTED_VALUE"""),"MISSON")</f>
        <v>MISSON</v>
      </c>
      <c r="D244" s="48" t="str">
        <f ca="1">IFERROR(__xludf.DUMMYFUNCTION("""COMPUTED_VALUE"""),"Mathieu")</f>
        <v>Mathieu</v>
      </c>
      <c r="E244" s="49" t="str">
        <f ca="1">IFERROR(__xludf.DUMMYFUNCTION("""COMPUTED_VALUE"""),"06570024")</f>
        <v>06570024</v>
      </c>
      <c r="F244" s="48" t="str">
        <f ca="1">IFERROR(__xludf.DUMMYFUNCTION("""COMPUTED_VALUE"""),"THIONVILLE Tennis de Table")</f>
        <v>THIONVILLE Tennis de Table</v>
      </c>
      <c r="G244" s="50" t="str">
        <f ca="1">IFERROR(__xludf.DUMMYFUNCTION("""COMPUTED_VALUE"""),"CD57")</f>
        <v>CD57</v>
      </c>
      <c r="H244" s="50" t="str">
        <f ca="1">IFERROR(__xludf.DUMMYFUNCTION("""COMPUTED_VALUE"""),"actif")</f>
        <v>actif</v>
      </c>
    </row>
    <row r="245" spans="1:8" ht="12.75">
      <c r="A245" s="46">
        <f ca="1">IFERROR(__xludf.DUMMYFUNCTION("""COMPUTED_VALUE"""),233)</f>
        <v>233</v>
      </c>
      <c r="B245" s="47" t="str">
        <f ca="1">IFERROR(__xludf.DUMMYFUNCTION("""COMPUTED_VALUE"""),"5423011")</f>
        <v>5423011</v>
      </c>
      <c r="C245" s="48" t="str">
        <f ca="1">IFERROR(__xludf.DUMMYFUNCTION("""COMPUTED_VALUE"""),"MORIZOT")</f>
        <v>MORIZOT</v>
      </c>
      <c r="D245" s="48" t="str">
        <f ca="1">IFERROR(__xludf.DUMMYFUNCTION("""COMPUTED_VALUE"""),"Alain")</f>
        <v>Alain</v>
      </c>
      <c r="E245" s="49" t="str">
        <f ca="1">IFERROR(__xludf.DUMMYFUNCTION("""COMPUTED_VALUE"""),"06540068")</f>
        <v>06540068</v>
      </c>
      <c r="F245" s="48" t="str">
        <f ca="1">IFERROR(__xludf.DUMMYFUNCTION("""COMPUTED_VALUE"""),"DIEULOUARD F.J.E.P.")</f>
        <v>DIEULOUARD F.J.E.P.</v>
      </c>
      <c r="G245" s="50" t="str">
        <f ca="1">IFERROR(__xludf.DUMMYFUNCTION("""COMPUTED_VALUE"""),"CD54")</f>
        <v>CD54</v>
      </c>
      <c r="H245" s="50" t="str">
        <f ca="1">IFERROR(__xludf.DUMMYFUNCTION("""COMPUTED_VALUE"""),"actif")</f>
        <v>actif</v>
      </c>
    </row>
    <row r="246" spans="1:8" ht="12.75">
      <c r="A246" s="46">
        <f ca="1">IFERROR(__xludf.DUMMYFUNCTION("""COMPUTED_VALUE"""),234)</f>
        <v>234</v>
      </c>
      <c r="B246" s="47" t="str">
        <f ca="1">IFERROR(__xludf.DUMMYFUNCTION("""COMPUTED_VALUE"""),"8820648")</f>
        <v>8820648</v>
      </c>
      <c r="C246" s="48" t="str">
        <f ca="1">IFERROR(__xludf.DUMMYFUNCTION("""COMPUTED_VALUE"""),"MOUT THOUVENIN")</f>
        <v>MOUT THOUVENIN</v>
      </c>
      <c r="D246" s="48" t="str">
        <f ca="1">IFERROR(__xludf.DUMMYFUNCTION("""COMPUTED_VALUE"""),"Elena")</f>
        <v>Elena</v>
      </c>
      <c r="E246" s="49" t="str">
        <f ca="1">IFERROR(__xludf.DUMMYFUNCTION("""COMPUTED_VALUE"""),"06880145")</f>
        <v>06880145</v>
      </c>
      <c r="F246" s="48" t="str">
        <f ca="1">IFERROR(__xludf.DUMMYFUNCTION("""COMPUTED_VALUE"""),"THAON CHENIMENIL E.S.T.T.")</f>
        <v>THAON CHENIMENIL E.S.T.T.</v>
      </c>
      <c r="G246" s="50" t="str">
        <f ca="1">IFERROR(__xludf.DUMMYFUNCTION("""COMPUTED_VALUE"""),"CD88")</f>
        <v>CD88</v>
      </c>
      <c r="H246" s="50" t="str">
        <f ca="1">IFERROR(__xludf.DUMMYFUNCTION("""COMPUTED_VALUE"""),"actif")</f>
        <v>actif</v>
      </c>
    </row>
    <row r="247" spans="1:8" ht="12.75">
      <c r="A247" s="46">
        <f ca="1">IFERROR(__xludf.DUMMYFUNCTION("""COMPUTED_VALUE"""),235)</f>
        <v>235</v>
      </c>
      <c r="B247" s="47" t="str">
        <f ca="1">IFERROR(__xludf.DUMMYFUNCTION("""COMPUTED_VALUE"""),"5428994")</f>
        <v>5428994</v>
      </c>
      <c r="C247" s="48" t="str">
        <f ca="1">IFERROR(__xludf.DUMMYFUNCTION("""COMPUTED_VALUE"""),"NICAISE")</f>
        <v>NICAISE</v>
      </c>
      <c r="D247" s="48" t="str">
        <f ca="1">IFERROR(__xludf.DUMMYFUNCTION("""COMPUTED_VALUE"""),"Elian")</f>
        <v>Elian</v>
      </c>
      <c r="E247" s="49" t="str">
        <f ca="1">IFERROR(__xludf.DUMMYFUNCTION("""COMPUTED_VALUE"""),"06570024")</f>
        <v>06570024</v>
      </c>
      <c r="F247" s="48" t="str">
        <f ca="1">IFERROR(__xludf.DUMMYFUNCTION("""COMPUTED_VALUE"""),"THIONVILLE Tennis de Table")</f>
        <v>THIONVILLE Tennis de Table</v>
      </c>
      <c r="G247" s="50" t="str">
        <f ca="1">IFERROR(__xludf.DUMMYFUNCTION("""COMPUTED_VALUE"""),"CD57")</f>
        <v>CD57</v>
      </c>
      <c r="H247" s="50" t="str">
        <f ca="1">IFERROR(__xludf.DUMMYFUNCTION("""COMPUTED_VALUE"""),"actif")</f>
        <v>actif</v>
      </c>
    </row>
    <row r="248" spans="1:8" ht="12.75">
      <c r="A248" s="46">
        <f ca="1">IFERROR(__xludf.DUMMYFUNCTION("""COMPUTED_VALUE"""),236)</f>
        <v>236</v>
      </c>
      <c r="B248" s="47" t="str">
        <f ca="1">IFERROR(__xludf.DUMMYFUNCTION("""COMPUTED_VALUE"""),"575462")</f>
        <v>575462</v>
      </c>
      <c r="C248" s="48" t="str">
        <f ca="1">IFERROR(__xludf.DUMMYFUNCTION("""COMPUTED_VALUE"""),"NICLAUSE")</f>
        <v>NICLAUSE</v>
      </c>
      <c r="D248" s="48" t="str">
        <f ca="1">IFERROR(__xludf.DUMMYFUNCTION("""COMPUTED_VALUE"""),"Francois")</f>
        <v>Francois</v>
      </c>
      <c r="E248" s="49" t="str">
        <f ca="1">IFERROR(__xludf.DUMMYFUNCTION("""COMPUTED_VALUE"""),"06570111")</f>
        <v>06570111</v>
      </c>
      <c r="F248" s="48" t="str">
        <f ca="1">IFERROR(__xludf.DUMMYFUNCTION("""COMPUTED_VALUE"""),"SARREBOURG TT")</f>
        <v>SARREBOURG TT</v>
      </c>
      <c r="G248" s="50" t="str">
        <f ca="1">IFERROR(__xludf.DUMMYFUNCTION("""COMPUTED_VALUE"""),"CD57")</f>
        <v>CD57</v>
      </c>
      <c r="H248" s="50" t="str">
        <f ca="1">IFERROR(__xludf.DUMMYFUNCTION("""COMPUTED_VALUE"""),"actif")</f>
        <v>actif</v>
      </c>
    </row>
    <row r="249" spans="1:8" ht="12.75">
      <c r="A249" s="46">
        <f ca="1">IFERROR(__xludf.DUMMYFUNCTION("""COMPUTED_VALUE"""),237)</f>
        <v>237</v>
      </c>
      <c r="B249" s="47" t="str">
        <f ca="1">IFERROR(__xludf.DUMMYFUNCTION("""COMPUTED_VALUE"""),"687406")</f>
        <v>687406</v>
      </c>
      <c r="C249" s="48" t="str">
        <f ca="1">IFERROR(__xludf.DUMMYFUNCTION("""COMPUTED_VALUE"""),"NUSSBAUM")</f>
        <v>NUSSBAUM</v>
      </c>
      <c r="D249" s="48" t="str">
        <f ca="1">IFERROR(__xludf.DUMMYFUNCTION("""COMPUTED_VALUE"""),"Isabelle")</f>
        <v>Isabelle</v>
      </c>
      <c r="E249" s="49" t="str">
        <f ca="1">IFERROR(__xludf.DUMMYFUNCTION("""COMPUTED_VALUE"""),"06680091")</f>
        <v>06680091</v>
      </c>
      <c r="F249" s="48" t="str">
        <f ca="1">IFERROR(__xludf.DUMMYFUNCTION("""COMPUTED_VALUE"""),"ILLZACH TTSJB")</f>
        <v>ILLZACH TTSJB</v>
      </c>
      <c r="G249" s="50" t="str">
        <f ca="1">IFERROR(__xludf.DUMMYFUNCTION("""COMPUTED_VALUE"""),"CD68")</f>
        <v>CD68</v>
      </c>
      <c r="H249" s="50" t="str">
        <f ca="1">IFERROR(__xludf.DUMMYFUNCTION("""COMPUTED_VALUE"""),"actif")</f>
        <v>actif</v>
      </c>
    </row>
    <row r="250" spans="1:8" ht="12.75">
      <c r="A250" s="46">
        <f ca="1">IFERROR(__xludf.DUMMYFUNCTION("""COMPUTED_VALUE"""),238)</f>
        <v>238</v>
      </c>
      <c r="B250" s="47" t="str">
        <f ca="1">IFERROR(__xludf.DUMMYFUNCTION("""COMPUTED_VALUE"""),"5736143")</f>
        <v>5736143</v>
      </c>
      <c r="C250" s="48" t="str">
        <f ca="1">IFERROR(__xludf.DUMMYFUNCTION("""COMPUTED_VALUE"""),"OLLIER")</f>
        <v>OLLIER</v>
      </c>
      <c r="D250" s="48" t="str">
        <f ca="1">IFERROR(__xludf.DUMMYFUNCTION("""COMPUTED_VALUE"""),"Gaspard")</f>
        <v>Gaspard</v>
      </c>
      <c r="E250" s="49" t="str">
        <f ca="1">IFERROR(__xludf.DUMMYFUNCTION("""COMPUTED_VALUE"""),"06570024")</f>
        <v>06570024</v>
      </c>
      <c r="F250" s="48" t="str">
        <f ca="1">IFERROR(__xludf.DUMMYFUNCTION("""COMPUTED_VALUE"""),"THIONVILLE Tennis de Table")</f>
        <v>THIONVILLE Tennis de Table</v>
      </c>
      <c r="G250" s="50" t="str">
        <f ca="1">IFERROR(__xludf.DUMMYFUNCTION("""COMPUTED_VALUE"""),"CD57")</f>
        <v>CD57</v>
      </c>
      <c r="H250" s="50" t="str">
        <f ca="1">IFERROR(__xludf.DUMMYFUNCTION("""COMPUTED_VALUE"""),"actif")</f>
        <v>actif</v>
      </c>
    </row>
    <row r="251" spans="1:8" ht="12.75">
      <c r="A251" s="46">
        <f ca="1">IFERROR(__xludf.DUMMYFUNCTION("""COMPUTED_VALUE"""),239)</f>
        <v>239</v>
      </c>
      <c r="B251" s="47" t="str">
        <f ca="1">IFERROR(__xludf.DUMMYFUNCTION("""COMPUTED_VALUE"""),"5736511")</f>
        <v>5736511</v>
      </c>
      <c r="C251" s="48" t="str">
        <f ca="1">IFERROR(__xludf.DUMMYFUNCTION("""COMPUTED_VALUE"""),"OLLIER")</f>
        <v>OLLIER</v>
      </c>
      <c r="D251" s="48" t="str">
        <f ca="1">IFERROR(__xludf.DUMMYFUNCTION("""COMPUTED_VALUE"""),"Justin")</f>
        <v>Justin</v>
      </c>
      <c r="E251" s="49" t="str">
        <f ca="1">IFERROR(__xludf.DUMMYFUNCTION("""COMPUTED_VALUE"""),"06570024")</f>
        <v>06570024</v>
      </c>
      <c r="F251" s="48" t="str">
        <f ca="1">IFERROR(__xludf.DUMMYFUNCTION("""COMPUTED_VALUE"""),"THIONVILLE Tennis de Table")</f>
        <v>THIONVILLE Tennis de Table</v>
      </c>
      <c r="G251" s="50" t="str">
        <f ca="1">IFERROR(__xludf.DUMMYFUNCTION("""COMPUTED_VALUE"""),"CD57")</f>
        <v>CD57</v>
      </c>
      <c r="H251" s="50" t="str">
        <f ca="1">IFERROR(__xludf.DUMMYFUNCTION("""COMPUTED_VALUE"""),"actif")</f>
        <v>actif</v>
      </c>
    </row>
    <row r="252" spans="1:8" ht="12.75">
      <c r="A252" s="46">
        <f ca="1">IFERROR(__xludf.DUMMYFUNCTION("""COMPUTED_VALUE"""),240)</f>
        <v>240</v>
      </c>
      <c r="B252" s="47" t="str">
        <f ca="1">IFERROR(__xludf.DUMMYFUNCTION("""COMPUTED_VALUE"""),"682879")</f>
        <v>682879</v>
      </c>
      <c r="C252" s="48" t="str">
        <f ca="1">IFERROR(__xludf.DUMMYFUNCTION("""COMPUTED_VALUE"""),"ONKEL")</f>
        <v>ONKEL</v>
      </c>
      <c r="D252" s="48" t="str">
        <f ca="1">IFERROR(__xludf.DUMMYFUNCTION("""COMPUTED_VALUE"""),"Christophe")</f>
        <v>Christophe</v>
      </c>
      <c r="E252" s="49" t="str">
        <f ca="1">IFERROR(__xludf.DUMMYFUNCTION("""COMPUTED_VALUE"""),"06680082")</f>
        <v>06680082</v>
      </c>
      <c r="F252" s="48" t="str">
        <f ca="1">IFERROR(__xludf.DUMMYFUNCTION("""COMPUTED_VALUE"""),"SAINT-LOUIS TT")</f>
        <v>SAINT-LOUIS TT</v>
      </c>
      <c r="G252" s="50" t="str">
        <f ca="1">IFERROR(__xludf.DUMMYFUNCTION("""COMPUTED_VALUE"""),"CD68")</f>
        <v>CD68</v>
      </c>
      <c r="H252" s="50" t="str">
        <f ca="1">IFERROR(__xludf.DUMMYFUNCTION("""COMPUTED_VALUE"""),"actif")</f>
        <v>actif</v>
      </c>
    </row>
    <row r="253" spans="1:8" ht="12.75">
      <c r="A253" s="46">
        <f ca="1">IFERROR(__xludf.DUMMYFUNCTION("""COMPUTED_VALUE"""),241)</f>
        <v>241</v>
      </c>
      <c r="B253" s="47" t="str">
        <f ca="1">IFERROR(__xludf.DUMMYFUNCTION("""COMPUTED_VALUE"""),"579768")</f>
        <v>579768</v>
      </c>
      <c r="C253" s="48" t="str">
        <f ca="1">IFERROR(__xludf.DUMMYFUNCTION("""COMPUTED_VALUE"""),"OSWALD")</f>
        <v>OSWALD</v>
      </c>
      <c r="D253" s="48" t="str">
        <f ca="1">IFERROR(__xludf.DUMMYFUNCTION("""COMPUTED_VALUE"""),"Jean Claude")</f>
        <v>Jean Claude</v>
      </c>
      <c r="E253" s="49" t="str">
        <f ca="1">IFERROR(__xludf.DUMMYFUNCTION("""COMPUTED_VALUE"""),"06570005")</f>
        <v>06570005</v>
      </c>
      <c r="F253" s="48" t="str">
        <f ca="1">IFERROR(__xludf.DUMMYFUNCTION("""COMPUTED_VALUE"""),"FAULQUEMONT E.S.C.")</f>
        <v>FAULQUEMONT E.S.C.</v>
      </c>
      <c r="G253" s="50" t="str">
        <f ca="1">IFERROR(__xludf.DUMMYFUNCTION("""COMPUTED_VALUE"""),"CD57")</f>
        <v>CD57</v>
      </c>
      <c r="H253" s="50" t="str">
        <f ca="1">IFERROR(__xludf.DUMMYFUNCTION("""COMPUTED_VALUE"""),"actif")</f>
        <v>actif</v>
      </c>
    </row>
    <row r="254" spans="1:8" ht="12.75">
      <c r="A254" s="46">
        <f ca="1">IFERROR(__xludf.DUMMYFUNCTION("""COMPUTED_VALUE"""),242)</f>
        <v>242</v>
      </c>
      <c r="B254" s="47" t="str">
        <f ca="1">IFERROR(__xludf.DUMMYFUNCTION("""COMPUTED_VALUE"""),"5734654")</f>
        <v>5734654</v>
      </c>
      <c r="C254" s="48" t="str">
        <f ca="1">IFERROR(__xludf.DUMMYFUNCTION("""COMPUTED_VALUE"""),"OSWALD")</f>
        <v>OSWALD</v>
      </c>
      <c r="D254" s="48" t="str">
        <f ca="1">IFERROR(__xludf.DUMMYFUNCTION("""COMPUTED_VALUE"""),"Felix")</f>
        <v>Felix</v>
      </c>
      <c r="E254" s="49" t="str">
        <f ca="1">IFERROR(__xludf.DUMMYFUNCTION("""COMPUTED_VALUE"""),"06570005")</f>
        <v>06570005</v>
      </c>
      <c r="F254" s="48" t="str">
        <f ca="1">IFERROR(__xludf.DUMMYFUNCTION("""COMPUTED_VALUE"""),"FAULQUEMONT E.S.C.")</f>
        <v>FAULQUEMONT E.S.C.</v>
      </c>
      <c r="G254" s="50" t="str">
        <f ca="1">IFERROR(__xludf.DUMMYFUNCTION("""COMPUTED_VALUE"""),"CD57")</f>
        <v>CD57</v>
      </c>
      <c r="H254" s="50" t="str">
        <f ca="1">IFERROR(__xludf.DUMMYFUNCTION("""COMPUTED_VALUE"""),"actif")</f>
        <v>actif</v>
      </c>
    </row>
    <row r="255" spans="1:8" ht="12.75">
      <c r="A255" s="46">
        <f ca="1">IFERROR(__xludf.DUMMYFUNCTION("""COMPUTED_VALUE"""),243)</f>
        <v>243</v>
      </c>
      <c r="B255" s="47" t="str">
        <f ca="1">IFERROR(__xludf.DUMMYFUNCTION("""COMPUTED_VALUE"""),"5715974")</f>
        <v>5715974</v>
      </c>
      <c r="C255" s="48" t="str">
        <f ca="1">IFERROR(__xludf.DUMMYFUNCTION("""COMPUTED_VALUE"""),"OUZAR")</f>
        <v>OUZAR</v>
      </c>
      <c r="D255" s="48" t="str">
        <f ca="1">IFERROR(__xludf.DUMMYFUNCTION("""COMPUTED_VALUE"""),"Julian")</f>
        <v>Julian</v>
      </c>
      <c r="E255" s="49" t="str">
        <f ca="1">IFERROR(__xludf.DUMMYFUNCTION("""COMPUTED_VALUE"""),"06570070")</f>
        <v>06570070</v>
      </c>
      <c r="F255" s="48" t="str">
        <f ca="1">IFERROR(__xludf.DUMMYFUNCTION("""COMPUTED_VALUE"""),"AMNEVILLE Tennis de Table")</f>
        <v>AMNEVILLE Tennis de Table</v>
      </c>
      <c r="G255" s="50" t="str">
        <f ca="1">IFERROR(__xludf.DUMMYFUNCTION("""COMPUTED_VALUE"""),"CD57")</f>
        <v>CD57</v>
      </c>
      <c r="H255" s="50" t="str">
        <f ca="1">IFERROR(__xludf.DUMMYFUNCTION("""COMPUTED_VALUE"""),"actif")</f>
        <v>actif</v>
      </c>
    </row>
    <row r="256" spans="1:8" ht="12.75">
      <c r="A256" s="46">
        <f ca="1">IFERROR(__xludf.DUMMYFUNCTION("""COMPUTED_VALUE"""),244)</f>
        <v>244</v>
      </c>
      <c r="B256" s="47" t="str">
        <f ca="1">IFERROR(__xludf.DUMMYFUNCTION("""COMPUTED_VALUE"""),"0811689")</f>
        <v>0811689</v>
      </c>
      <c r="C256" s="48" t="str">
        <f ca="1">IFERROR(__xludf.DUMMYFUNCTION("""COMPUTED_VALUE"""),"PARADIS")</f>
        <v>PARADIS</v>
      </c>
      <c r="D256" s="48" t="str">
        <f ca="1">IFERROR(__xludf.DUMMYFUNCTION("""COMPUTED_VALUE"""),"Luca")</f>
        <v>Luca</v>
      </c>
      <c r="E256" s="49" t="str">
        <f ca="1">IFERROR(__xludf.DUMMYFUNCTION("""COMPUTED_VALUE"""),"06080013")</f>
        <v>06080013</v>
      </c>
      <c r="F256" s="48" t="str">
        <f ca="1">IFERROR(__xludf.DUMMYFUNCTION("""COMPUTED_VALUE"""),"TAGNON PPC")</f>
        <v>TAGNON PPC</v>
      </c>
      <c r="G256" s="50" t="str">
        <f ca="1">IFERROR(__xludf.DUMMYFUNCTION("""COMPUTED_VALUE"""),"CD08")</f>
        <v>CD08</v>
      </c>
      <c r="H256" s="50" t="str">
        <f ca="1">IFERROR(__xludf.DUMMYFUNCTION("""COMPUTED_VALUE"""),"actif")</f>
        <v>actif</v>
      </c>
    </row>
    <row r="257" spans="1:8" ht="12.75">
      <c r="A257" s="46">
        <f ca="1">IFERROR(__xludf.DUMMYFUNCTION("""COMPUTED_VALUE"""),245)</f>
        <v>245</v>
      </c>
      <c r="B257" s="47" t="str">
        <f ca="1">IFERROR(__xludf.DUMMYFUNCTION("""COMPUTED_VALUE"""),"5430563")</f>
        <v>5430563</v>
      </c>
      <c r="C257" s="48" t="str">
        <f ca="1">IFERROR(__xludf.DUMMYFUNCTION("""COMPUTED_VALUE"""),"PASCALE")</f>
        <v>PASCALE</v>
      </c>
      <c r="D257" s="48" t="str">
        <f ca="1">IFERROR(__xludf.DUMMYFUNCTION("""COMPUTED_VALUE"""),"Jules")</f>
        <v>Jules</v>
      </c>
      <c r="E257" s="49" t="str">
        <f ca="1">IFERROR(__xludf.DUMMYFUNCTION("""COMPUTED_VALUE"""),"06540040")</f>
        <v>06540040</v>
      </c>
      <c r="F257" s="48" t="str">
        <f ca="1">IFERROR(__xludf.DUMMYFUNCTION("""COMPUTED_VALUE"""),"VILLERS LES NANCY C.O.S.")</f>
        <v>VILLERS LES NANCY C.O.S.</v>
      </c>
      <c r="G257" s="50" t="str">
        <f ca="1">IFERROR(__xludf.DUMMYFUNCTION("""COMPUTED_VALUE"""),"CD54")</f>
        <v>CD54</v>
      </c>
      <c r="H257" s="50" t="str">
        <f ca="1">IFERROR(__xludf.DUMMYFUNCTION("""COMPUTED_VALUE"""),"actif")</f>
        <v>actif</v>
      </c>
    </row>
    <row r="258" spans="1:8" ht="12.75">
      <c r="A258" s="46">
        <f ca="1">IFERROR(__xludf.DUMMYFUNCTION("""COMPUTED_VALUE"""),246)</f>
        <v>246</v>
      </c>
      <c r="B258" s="47" t="str">
        <f ca="1">IFERROR(__xludf.DUMMYFUNCTION("""COMPUTED_VALUE"""),"5420781")</f>
        <v>5420781</v>
      </c>
      <c r="C258" s="48" t="str">
        <f ca="1">IFERROR(__xludf.DUMMYFUNCTION("""COMPUTED_VALUE"""),"PAYEUR")</f>
        <v>PAYEUR</v>
      </c>
      <c r="D258" s="48" t="str">
        <f ca="1">IFERROR(__xludf.DUMMYFUNCTION("""COMPUTED_VALUE"""),"Herve")</f>
        <v>Herve</v>
      </c>
      <c r="E258" s="49" t="str">
        <f ca="1">IFERROR(__xludf.DUMMYFUNCTION("""COMPUTED_VALUE"""),"06540021")</f>
        <v>06540021</v>
      </c>
      <c r="F258" s="48" t="str">
        <f ca="1">IFERROR(__xludf.DUMMYFUNCTION("""COMPUTED_VALUE"""),"LUNEVILLE A.L.T.T.")</f>
        <v>LUNEVILLE A.L.T.T.</v>
      </c>
      <c r="G258" s="50" t="str">
        <f ca="1">IFERROR(__xludf.DUMMYFUNCTION("""COMPUTED_VALUE"""),"CD54")</f>
        <v>CD54</v>
      </c>
      <c r="H258" s="50" t="str">
        <f ca="1">IFERROR(__xludf.DUMMYFUNCTION("""COMPUTED_VALUE"""),"actif")</f>
        <v>actif</v>
      </c>
    </row>
    <row r="259" spans="1:8" ht="12.75">
      <c r="A259" s="46">
        <f ca="1">IFERROR(__xludf.DUMMYFUNCTION("""COMPUTED_VALUE"""),247)</f>
        <v>247</v>
      </c>
      <c r="B259" s="47" t="str">
        <f ca="1">IFERROR(__xludf.DUMMYFUNCTION("""COMPUTED_VALUE"""),"517185")</f>
        <v>517185</v>
      </c>
      <c r="C259" s="48" t="str">
        <f ca="1">IFERROR(__xludf.DUMMYFUNCTION("""COMPUTED_VALUE"""),"PELTIER")</f>
        <v>PELTIER</v>
      </c>
      <c r="D259" s="48" t="str">
        <f ca="1">IFERROR(__xludf.DUMMYFUNCTION("""COMPUTED_VALUE"""),"Maxence")</f>
        <v>Maxence</v>
      </c>
      <c r="E259" s="49" t="str">
        <f ca="1">IFERROR(__xludf.DUMMYFUNCTION("""COMPUTED_VALUE"""),"06510018")</f>
        <v>06510018</v>
      </c>
      <c r="F259" s="48" t="str">
        <f ca="1">IFERROR(__xludf.DUMMYFUNCTION("""COMPUTED_VALUE"""),"REIMS ASPTT")</f>
        <v>REIMS ASPTT</v>
      </c>
      <c r="G259" s="50" t="str">
        <f ca="1">IFERROR(__xludf.DUMMYFUNCTION("""COMPUTED_VALUE"""),"CD51")</f>
        <v>CD51</v>
      </c>
      <c r="H259" s="50" t="str">
        <f ca="1">IFERROR(__xludf.DUMMYFUNCTION("""COMPUTED_VALUE"""),"actif")</f>
        <v>actif</v>
      </c>
    </row>
    <row r="260" spans="1:8" ht="12.75">
      <c r="A260" s="46">
        <f ca="1">IFERROR(__xludf.DUMMYFUNCTION("""COMPUTED_VALUE"""),248)</f>
        <v>248</v>
      </c>
      <c r="B260" s="47" t="str">
        <f ca="1">IFERROR(__xludf.DUMMYFUNCTION("""COMPUTED_VALUE"""),"8815383")</f>
        <v>8815383</v>
      </c>
      <c r="C260" s="48" t="str">
        <f ca="1">IFERROR(__xludf.DUMMYFUNCTION("""COMPUTED_VALUE"""),"PEREIRA-MARTIN")</f>
        <v>PEREIRA-MARTIN</v>
      </c>
      <c r="D260" s="48" t="str">
        <f ca="1">IFERROR(__xludf.DUMMYFUNCTION("""COMPUTED_VALUE"""),"Pavel")</f>
        <v>Pavel</v>
      </c>
      <c r="E260" s="49" t="str">
        <f ca="1">IFERROR(__xludf.DUMMYFUNCTION("""COMPUTED_VALUE"""),"06880049")</f>
        <v>06880049</v>
      </c>
      <c r="F260" s="48" t="str">
        <f ca="1">IFERROR(__xludf.DUMMYFUNCTION("""COMPUTED_VALUE"""),"MIRECOURT Lift Club")</f>
        <v>MIRECOURT Lift Club</v>
      </c>
      <c r="G260" s="50" t="str">
        <f ca="1">IFERROR(__xludf.DUMMYFUNCTION("""COMPUTED_VALUE"""),"CD88")</f>
        <v>CD88</v>
      </c>
      <c r="H260" s="50" t="str">
        <f ca="1">IFERROR(__xludf.DUMMYFUNCTION("""COMPUTED_VALUE"""),"actif")</f>
        <v>actif</v>
      </c>
    </row>
    <row r="261" spans="1:8" ht="12.75">
      <c r="A261" s="46">
        <f ca="1">IFERROR(__xludf.DUMMYFUNCTION("""COMPUTED_VALUE"""),249)</f>
        <v>249</v>
      </c>
      <c r="B261" s="47" t="str">
        <f ca="1">IFERROR(__xludf.DUMMYFUNCTION("""COMPUTED_VALUE"""),"5418125")</f>
        <v>5418125</v>
      </c>
      <c r="C261" s="48" t="str">
        <f ca="1">IFERROR(__xludf.DUMMYFUNCTION("""COMPUTED_VALUE"""),"PERNOT")</f>
        <v>PERNOT</v>
      </c>
      <c r="D261" s="48" t="str">
        <f ca="1">IFERROR(__xludf.DUMMYFUNCTION("""COMPUTED_VALUE"""),"Thibaut")</f>
        <v>Thibaut</v>
      </c>
      <c r="E261" s="49" t="str">
        <f ca="1">IFERROR(__xludf.DUMMYFUNCTION("""COMPUTED_VALUE"""),"06540088")</f>
        <v>06540088</v>
      </c>
      <c r="F261" s="48" t="str">
        <f ca="1">IFERROR(__xludf.DUMMYFUNCTION("""COMPUTED_VALUE"""),"CHANTEHEUX TT")</f>
        <v>CHANTEHEUX TT</v>
      </c>
      <c r="G261" s="50" t="str">
        <f ca="1">IFERROR(__xludf.DUMMYFUNCTION("""COMPUTED_VALUE"""),"CD54")</f>
        <v>CD54</v>
      </c>
      <c r="H261" s="50" t="str">
        <f ca="1">IFERROR(__xludf.DUMMYFUNCTION("""COMPUTED_VALUE"""),"actif")</f>
        <v>actif</v>
      </c>
    </row>
    <row r="262" spans="1:8" ht="12.75">
      <c r="A262" s="46">
        <f ca="1">IFERROR(__xludf.DUMMYFUNCTION("""COMPUTED_VALUE"""),250)</f>
        <v>250</v>
      </c>
      <c r="B262" s="47" t="str">
        <f ca="1">IFERROR(__xludf.DUMMYFUNCTION("""COMPUTED_VALUE"""),"5432902")</f>
        <v>5432902</v>
      </c>
      <c r="C262" s="48" t="str">
        <f ca="1">IFERROR(__xludf.DUMMYFUNCTION("""COMPUTED_VALUE"""),"PETE")</f>
        <v>PETE</v>
      </c>
      <c r="D262" s="48" t="str">
        <f ca="1">IFERROR(__xludf.DUMMYFUNCTION("""COMPUTED_VALUE"""),"Monia")</f>
        <v>Monia</v>
      </c>
      <c r="E262" s="49" t="str">
        <f ca="1">IFERROR(__xludf.DUMMYFUNCTION("""COMPUTED_VALUE"""),"06540021")</f>
        <v>06540021</v>
      </c>
      <c r="F262" s="48" t="str">
        <f ca="1">IFERROR(__xludf.DUMMYFUNCTION("""COMPUTED_VALUE"""),"LUNEVILLE A.L.T.T.")</f>
        <v>LUNEVILLE A.L.T.T.</v>
      </c>
      <c r="G262" s="50" t="str">
        <f ca="1">IFERROR(__xludf.DUMMYFUNCTION("""COMPUTED_VALUE"""),"CD54")</f>
        <v>CD54</v>
      </c>
      <c r="H262" s="50" t="str">
        <f ca="1">IFERROR(__xludf.DUMMYFUNCTION("""COMPUTED_VALUE"""),"actif")</f>
        <v>actif</v>
      </c>
    </row>
    <row r="263" spans="1:8" ht="12.75">
      <c r="A263" s="46">
        <f ca="1">IFERROR(__xludf.DUMMYFUNCTION("""COMPUTED_VALUE"""),251)</f>
        <v>251</v>
      </c>
      <c r="B263" s="47" t="str">
        <f ca="1">IFERROR(__xludf.DUMMYFUNCTION("""COMPUTED_VALUE"""),"688414")</f>
        <v>688414</v>
      </c>
      <c r="C263" s="48" t="str">
        <f ca="1">IFERROR(__xludf.DUMMYFUNCTION("""COMPUTED_VALUE"""),"PETER")</f>
        <v>PETER</v>
      </c>
      <c r="D263" s="48" t="str">
        <f ca="1">IFERROR(__xludf.DUMMYFUNCTION("""COMPUTED_VALUE"""),"Alexandre")</f>
        <v>Alexandre</v>
      </c>
      <c r="E263" s="49" t="str">
        <f ca="1">IFERROR(__xludf.DUMMYFUNCTION("""COMPUTED_VALUE"""),"06680119")</f>
        <v>06680119</v>
      </c>
      <c r="F263" s="48" t="str">
        <f ca="1">IFERROR(__xludf.DUMMYFUNCTION("""COMPUTED_VALUE"""),"COLMAR C.C.C. T.T.")</f>
        <v>COLMAR C.C.C. T.T.</v>
      </c>
      <c r="G263" s="50" t="str">
        <f ca="1">IFERROR(__xludf.DUMMYFUNCTION("""COMPUTED_VALUE"""),"CD68")</f>
        <v>CD68</v>
      </c>
      <c r="H263" s="50" t="str">
        <f ca="1">IFERROR(__xludf.DUMMYFUNCTION("""COMPUTED_VALUE"""),"actif")</f>
        <v>actif</v>
      </c>
    </row>
    <row r="264" spans="1:8" ht="12.75">
      <c r="A264" s="46">
        <f ca="1">IFERROR(__xludf.DUMMYFUNCTION("""COMPUTED_VALUE"""),252)</f>
        <v>252</v>
      </c>
      <c r="B264" s="47" t="str">
        <f ca="1">IFERROR(__xludf.DUMMYFUNCTION("""COMPUTED_VALUE"""),"5439174")</f>
        <v>5439174</v>
      </c>
      <c r="C264" s="48" t="str">
        <f ca="1">IFERROR(__xludf.DUMMYFUNCTION("""COMPUTED_VALUE"""),"PETIT")</f>
        <v>PETIT</v>
      </c>
      <c r="D264" s="48" t="str">
        <f ca="1">IFERROR(__xludf.DUMMYFUNCTION("""COMPUTED_VALUE"""),"Lenzo")</f>
        <v>Lenzo</v>
      </c>
      <c r="E264" s="49" t="str">
        <f ca="1">IFERROR(__xludf.DUMMYFUNCTION("""COMPUTED_VALUE"""),"06540010")</f>
        <v>06540010</v>
      </c>
      <c r="F264" s="48" t="str">
        <f ca="1">IFERROR(__xludf.DUMMYFUNCTION("""COMPUTED_VALUE"""),"FOUG C.P.")</f>
        <v>FOUG C.P.</v>
      </c>
      <c r="G264" s="50" t="str">
        <f ca="1">IFERROR(__xludf.DUMMYFUNCTION("""COMPUTED_VALUE"""),"CD54")</f>
        <v>CD54</v>
      </c>
      <c r="H264" s="50" t="str">
        <f ca="1">IFERROR(__xludf.DUMMYFUNCTION("""COMPUTED_VALUE"""),"actif")</f>
        <v>actif</v>
      </c>
    </row>
    <row r="265" spans="1:8" ht="12.75">
      <c r="A265" s="46">
        <f ca="1">IFERROR(__xludf.DUMMYFUNCTION("""COMPUTED_VALUE"""),253)</f>
        <v>253</v>
      </c>
      <c r="B265" s="47" t="str">
        <f ca="1">IFERROR(__xludf.DUMMYFUNCTION("""COMPUTED_VALUE"""),"8818189")</f>
        <v>8818189</v>
      </c>
      <c r="C265" s="48" t="str">
        <f ca="1">IFERROR(__xludf.DUMMYFUNCTION("""COMPUTED_VALUE"""),"PETITCOLIN")</f>
        <v>PETITCOLIN</v>
      </c>
      <c r="D265" s="48" t="str">
        <f ca="1">IFERROR(__xludf.DUMMYFUNCTION("""COMPUTED_VALUE"""),"Marion")</f>
        <v>Marion</v>
      </c>
      <c r="E265" s="49" t="str">
        <f ca="1">IFERROR(__xludf.DUMMYFUNCTION("""COMPUTED_VALUE"""),"06880145")</f>
        <v>06880145</v>
      </c>
      <c r="F265" s="48" t="str">
        <f ca="1">IFERROR(__xludf.DUMMYFUNCTION("""COMPUTED_VALUE"""),"THAON CHENIMENIL E.S.T.T.")</f>
        <v>THAON CHENIMENIL E.S.T.T.</v>
      </c>
      <c r="G265" s="50" t="str">
        <f ca="1">IFERROR(__xludf.DUMMYFUNCTION("""COMPUTED_VALUE"""),"CD88")</f>
        <v>CD88</v>
      </c>
      <c r="H265" s="50" t="str">
        <f ca="1">IFERROR(__xludf.DUMMYFUNCTION("""COMPUTED_VALUE"""),"actif")</f>
        <v>actif</v>
      </c>
    </row>
    <row r="266" spans="1:8" ht="12.75">
      <c r="A266" s="46">
        <f ca="1">IFERROR(__xludf.DUMMYFUNCTION("""COMPUTED_VALUE"""),254)</f>
        <v>254</v>
      </c>
      <c r="B266" s="47" t="str">
        <f ca="1">IFERROR(__xludf.DUMMYFUNCTION("""COMPUTED_VALUE"""),"558572")</f>
        <v>558572</v>
      </c>
      <c r="C266" s="48" t="str">
        <f ca="1">IFERROR(__xludf.DUMMYFUNCTION("""COMPUTED_VALUE"""),"PICARD")</f>
        <v>PICARD</v>
      </c>
      <c r="D266" s="48" t="str">
        <f ca="1">IFERROR(__xludf.DUMMYFUNCTION("""COMPUTED_VALUE"""),"Regis")</f>
        <v>Regis</v>
      </c>
      <c r="E266" s="49" t="str">
        <f ca="1">IFERROR(__xludf.DUMMYFUNCTION("""COMPUTED_VALUE"""),"06550003")</f>
        <v>06550003</v>
      </c>
      <c r="F266" s="48" t="str">
        <f ca="1">IFERROR(__xludf.DUMMYFUNCTION("""COMPUTED_VALUE"""),"COMMERCY P.P.C.")</f>
        <v>COMMERCY P.P.C.</v>
      </c>
      <c r="G266" s="50" t="str">
        <f ca="1">IFERROR(__xludf.DUMMYFUNCTION("""COMPUTED_VALUE"""),"CD55")</f>
        <v>CD55</v>
      </c>
      <c r="H266" s="50" t="str">
        <f ca="1">IFERROR(__xludf.DUMMYFUNCTION("""COMPUTED_VALUE"""),"actif")</f>
        <v>actif</v>
      </c>
    </row>
    <row r="267" spans="1:8" ht="12.75">
      <c r="A267" s="46">
        <f ca="1">IFERROR(__xludf.DUMMYFUNCTION("""COMPUTED_VALUE"""),255)</f>
        <v>255</v>
      </c>
      <c r="B267" s="47" t="str">
        <f ca="1">IFERROR(__xludf.DUMMYFUNCTION("""COMPUTED_VALUE"""),"558217")</f>
        <v>558217</v>
      </c>
      <c r="C267" s="48" t="str">
        <f ca="1">IFERROR(__xludf.DUMMYFUNCTION("""COMPUTED_VALUE"""),"PICHAVANT")</f>
        <v>PICHAVANT</v>
      </c>
      <c r="D267" s="48" t="str">
        <f ca="1">IFERROR(__xludf.DUMMYFUNCTION("""COMPUTED_VALUE"""),"Edwin")</f>
        <v>Edwin</v>
      </c>
      <c r="E267" s="49" t="str">
        <f ca="1">IFERROR(__xludf.DUMMYFUNCTION("""COMPUTED_VALUE"""),"06550005")</f>
        <v>06550005</v>
      </c>
      <c r="F267" s="48" t="str">
        <f ca="1">IFERROR(__xludf.DUMMYFUNCTION("""COMPUTED_VALUE"""),"SAINT MIHIEL P.P.C.")</f>
        <v>SAINT MIHIEL P.P.C.</v>
      </c>
      <c r="G267" s="50" t="str">
        <f ca="1">IFERROR(__xludf.DUMMYFUNCTION("""COMPUTED_VALUE"""),"CD55")</f>
        <v>CD55</v>
      </c>
      <c r="H267" s="50" t="str">
        <f ca="1">IFERROR(__xludf.DUMMYFUNCTION("""COMPUTED_VALUE"""),"actif")</f>
        <v>actif</v>
      </c>
    </row>
    <row r="268" spans="1:8" ht="12.75">
      <c r="A268" s="46">
        <f ca="1">IFERROR(__xludf.DUMMYFUNCTION("""COMPUTED_VALUE"""),256)</f>
        <v>256</v>
      </c>
      <c r="B268" s="47" t="str">
        <f ca="1">IFERROR(__xludf.DUMMYFUNCTION("""COMPUTED_VALUE"""),"5427979")</f>
        <v>5427979</v>
      </c>
      <c r="C268" s="48" t="str">
        <f ca="1">IFERROR(__xludf.DUMMYFUNCTION("""COMPUTED_VALUE"""),"PIERRE")</f>
        <v>PIERRE</v>
      </c>
      <c r="D268" s="48" t="str">
        <f ca="1">IFERROR(__xludf.DUMMYFUNCTION("""COMPUTED_VALUE"""),"Jason")</f>
        <v>Jason</v>
      </c>
      <c r="E268" s="49" t="str">
        <f ca="1">IFERROR(__xludf.DUMMYFUNCTION("""COMPUTED_VALUE"""),"06540020")</f>
        <v>06540020</v>
      </c>
      <c r="F268" s="48" t="str">
        <f ca="1">IFERROR(__xludf.DUMMYFUNCTION("""COMPUTED_VALUE"""),"DOMBASLE STT")</f>
        <v>DOMBASLE STT</v>
      </c>
      <c r="G268" s="50" t="str">
        <f ca="1">IFERROR(__xludf.DUMMYFUNCTION("""COMPUTED_VALUE"""),"CD54")</f>
        <v>CD54</v>
      </c>
      <c r="H268" s="50" t="str">
        <f ca="1">IFERROR(__xludf.DUMMYFUNCTION("""COMPUTED_VALUE"""),"actif")</f>
        <v>actif</v>
      </c>
    </row>
    <row r="269" spans="1:8" ht="12.75">
      <c r="A269" s="46">
        <f ca="1">IFERROR(__xludf.DUMMYFUNCTION("""COMPUTED_VALUE"""),257)</f>
        <v>257</v>
      </c>
      <c r="B269" s="47" t="str">
        <f ca="1">IFERROR(__xludf.DUMMYFUNCTION("""COMPUTED_VALUE"""),"5430172")</f>
        <v>5430172</v>
      </c>
      <c r="C269" s="48" t="str">
        <f ca="1">IFERROR(__xludf.DUMMYFUNCTION("""COMPUTED_VALUE"""),"POISSON")</f>
        <v>POISSON</v>
      </c>
      <c r="D269" s="48" t="str">
        <f ca="1">IFERROR(__xludf.DUMMYFUNCTION("""COMPUTED_VALUE"""),"Marie-Josephe")</f>
        <v>Marie-Josephe</v>
      </c>
      <c r="E269" s="49" t="str">
        <f ca="1">IFERROR(__xludf.DUMMYFUNCTION("""COMPUTED_VALUE"""),"06540021")</f>
        <v>06540021</v>
      </c>
      <c r="F269" s="48" t="str">
        <f ca="1">IFERROR(__xludf.DUMMYFUNCTION("""COMPUTED_VALUE"""),"LUNEVILLE A.L.T.T.")</f>
        <v>LUNEVILLE A.L.T.T.</v>
      </c>
      <c r="G269" s="50" t="str">
        <f ca="1">IFERROR(__xludf.DUMMYFUNCTION("""COMPUTED_VALUE"""),"CD54")</f>
        <v>CD54</v>
      </c>
      <c r="H269" s="50" t="str">
        <f ca="1">IFERROR(__xludf.DUMMYFUNCTION("""COMPUTED_VALUE"""),"actif")</f>
        <v>actif</v>
      </c>
    </row>
    <row r="270" spans="1:8" ht="12.75">
      <c r="A270" s="46">
        <f ca="1">IFERROR(__xludf.DUMMYFUNCTION("""COMPUTED_VALUE"""),258)</f>
        <v>258</v>
      </c>
      <c r="B270" s="47" t="str">
        <f ca="1">IFERROR(__xludf.DUMMYFUNCTION("""COMPUTED_VALUE"""),"6716507")</f>
        <v>6716507</v>
      </c>
      <c r="C270" s="48" t="str">
        <f ca="1">IFERROR(__xludf.DUMMYFUNCTION("""COMPUTED_VALUE"""),"POPP")</f>
        <v>POPP</v>
      </c>
      <c r="D270" s="48" t="str">
        <f ca="1">IFERROR(__xludf.DUMMYFUNCTION("""COMPUTED_VALUE"""),"Jonathan")</f>
        <v>Jonathan</v>
      </c>
      <c r="E270" s="49" t="str">
        <f ca="1">IFERROR(__xludf.DUMMYFUNCTION("""COMPUTED_VALUE"""),"06670160")</f>
        <v>06670160</v>
      </c>
      <c r="F270" s="48" t="str">
        <f ca="1">IFERROR(__xludf.DUMMYFUNCTION("""COMPUTED_VALUE"""),"T.T.Haguenau Wissembourg")</f>
        <v>T.T.Haguenau Wissembourg</v>
      </c>
      <c r="G270" s="50" t="str">
        <f ca="1">IFERROR(__xludf.DUMMYFUNCTION("""COMPUTED_VALUE"""),"CD67")</f>
        <v>CD67</v>
      </c>
      <c r="H270" s="50" t="str">
        <f ca="1">IFERROR(__xludf.DUMMYFUNCTION("""COMPUTED_VALUE"""),"actif")</f>
        <v>actif</v>
      </c>
    </row>
    <row r="271" spans="1:8" ht="12.75">
      <c r="A271" s="46">
        <f ca="1">IFERROR(__xludf.DUMMYFUNCTION("""COMPUTED_VALUE"""),259)</f>
        <v>259</v>
      </c>
      <c r="B271" s="47" t="str">
        <f ca="1">IFERROR(__xludf.DUMMYFUNCTION("""COMPUTED_VALUE"""),"5736485")</f>
        <v>5736485</v>
      </c>
      <c r="C271" s="48" t="str">
        <f ca="1">IFERROR(__xludf.DUMMYFUNCTION("""COMPUTED_VALUE"""),"POTRON")</f>
        <v>POTRON</v>
      </c>
      <c r="D271" s="48" t="str">
        <f ca="1">IFERROR(__xludf.DUMMYFUNCTION("""COMPUTED_VALUE"""),"Eusebe")</f>
        <v>Eusebe</v>
      </c>
      <c r="E271" s="49" t="str">
        <f ca="1">IFERROR(__xludf.DUMMYFUNCTION("""COMPUTED_VALUE"""),"06570024")</f>
        <v>06570024</v>
      </c>
      <c r="F271" s="48" t="str">
        <f ca="1">IFERROR(__xludf.DUMMYFUNCTION("""COMPUTED_VALUE"""),"THIONVILLE Tennis de Table")</f>
        <v>THIONVILLE Tennis de Table</v>
      </c>
      <c r="G271" s="50" t="str">
        <f ca="1">IFERROR(__xludf.DUMMYFUNCTION("""COMPUTED_VALUE"""),"CD57")</f>
        <v>CD57</v>
      </c>
      <c r="H271" s="50" t="str">
        <f ca="1">IFERROR(__xludf.DUMMYFUNCTION("""COMPUTED_VALUE"""),"actif")</f>
        <v>actif</v>
      </c>
    </row>
    <row r="272" spans="1:8" ht="12.75">
      <c r="A272" s="46">
        <f ca="1">IFERROR(__xludf.DUMMYFUNCTION("""COMPUTED_VALUE"""),260)</f>
        <v>260</v>
      </c>
      <c r="B272" s="47" t="str">
        <f ca="1">IFERROR(__xludf.DUMMYFUNCTION("""COMPUTED_VALUE"""),"5738605")</f>
        <v>5738605</v>
      </c>
      <c r="C272" s="48" t="str">
        <f ca="1">IFERROR(__xludf.DUMMYFUNCTION("""COMPUTED_VALUE"""),"POTRON")</f>
        <v>POTRON</v>
      </c>
      <c r="D272" s="48" t="str">
        <f ca="1">IFERROR(__xludf.DUMMYFUNCTION("""COMPUTED_VALUE"""),"Amael")</f>
        <v>Amael</v>
      </c>
      <c r="E272" s="49" t="str">
        <f ca="1">IFERROR(__xludf.DUMMYFUNCTION("""COMPUTED_VALUE"""),"06570024")</f>
        <v>06570024</v>
      </c>
      <c r="F272" s="48" t="str">
        <f ca="1">IFERROR(__xludf.DUMMYFUNCTION("""COMPUTED_VALUE"""),"THIONVILLE Tennis de Table")</f>
        <v>THIONVILLE Tennis de Table</v>
      </c>
      <c r="G272" s="50" t="str">
        <f ca="1">IFERROR(__xludf.DUMMYFUNCTION("""COMPUTED_VALUE"""),"CD57")</f>
        <v>CD57</v>
      </c>
      <c r="H272" s="50" t="str">
        <f ca="1">IFERROR(__xludf.DUMMYFUNCTION("""COMPUTED_VALUE"""),"actif")</f>
        <v>actif</v>
      </c>
    </row>
    <row r="273" spans="1:8" ht="12.75">
      <c r="A273" s="46">
        <f ca="1">IFERROR(__xludf.DUMMYFUNCTION("""COMPUTED_VALUE"""),261)</f>
        <v>261</v>
      </c>
      <c r="B273" s="47" t="str">
        <f ca="1">IFERROR(__xludf.DUMMYFUNCTION("""COMPUTED_VALUE"""),"887232")</f>
        <v>887232</v>
      </c>
      <c r="C273" s="48" t="str">
        <f ca="1">IFERROR(__xludf.DUMMYFUNCTION("""COMPUTED_VALUE"""),"PREGHENELLA")</f>
        <v>PREGHENELLA</v>
      </c>
      <c r="D273" s="48" t="str">
        <f ca="1">IFERROR(__xludf.DUMMYFUNCTION("""COMPUTED_VALUE"""),"Loic")</f>
        <v>Loic</v>
      </c>
      <c r="E273" s="49" t="str">
        <f ca="1">IFERROR(__xludf.DUMMYFUNCTION("""COMPUTED_VALUE"""),"06880123")</f>
        <v>06880123</v>
      </c>
      <c r="F273" s="48" t="str">
        <f ca="1">IFERROR(__xludf.DUMMYFUNCTION("""COMPUTED_VALUE"""),"ETIVAL ASRTT")</f>
        <v>ETIVAL ASRTT</v>
      </c>
      <c r="G273" s="50" t="str">
        <f ca="1">IFERROR(__xludf.DUMMYFUNCTION("""COMPUTED_VALUE"""),"CD88")</f>
        <v>CD88</v>
      </c>
      <c r="H273" s="50" t="str">
        <f ca="1">IFERROR(__xludf.DUMMYFUNCTION("""COMPUTED_VALUE"""),"actif")</f>
        <v>actif</v>
      </c>
    </row>
    <row r="274" spans="1:8" ht="12.75">
      <c r="A274" s="46">
        <f ca="1">IFERROR(__xludf.DUMMYFUNCTION("""COMPUTED_VALUE"""),262)</f>
        <v>262</v>
      </c>
      <c r="B274" s="47" t="str">
        <f ca="1">IFERROR(__xludf.DUMMYFUNCTION("""COMPUTED_VALUE"""),"5511833")</f>
        <v>5511833</v>
      </c>
      <c r="C274" s="48" t="str">
        <f ca="1">IFERROR(__xludf.DUMMYFUNCTION("""COMPUTED_VALUE"""),"RAOULAS")</f>
        <v>RAOULAS</v>
      </c>
      <c r="D274" s="48" t="str">
        <f ca="1">IFERROR(__xludf.DUMMYFUNCTION("""COMPUTED_VALUE"""),"Nohan")</f>
        <v>Nohan</v>
      </c>
      <c r="E274" s="49" t="str">
        <f ca="1">IFERROR(__xludf.DUMMYFUNCTION("""COMPUTED_VALUE"""),"06550003")</f>
        <v>06550003</v>
      </c>
      <c r="F274" s="48" t="str">
        <f ca="1">IFERROR(__xludf.DUMMYFUNCTION("""COMPUTED_VALUE"""),"COMMERCY P.P.C.")</f>
        <v>COMMERCY P.P.C.</v>
      </c>
      <c r="G274" s="50" t="str">
        <f ca="1">IFERROR(__xludf.DUMMYFUNCTION("""COMPUTED_VALUE"""),"CD55")</f>
        <v>CD55</v>
      </c>
      <c r="H274" s="50" t="str">
        <f ca="1">IFERROR(__xludf.DUMMYFUNCTION("""COMPUTED_VALUE"""),"actif")</f>
        <v>actif</v>
      </c>
    </row>
    <row r="275" spans="1:8" ht="12.75">
      <c r="A275" s="46">
        <f ca="1">IFERROR(__xludf.DUMMYFUNCTION("""COMPUTED_VALUE"""),263)</f>
        <v>263</v>
      </c>
      <c r="B275" s="47" t="str">
        <f ca="1">IFERROR(__xludf.DUMMYFUNCTION("""COMPUTED_VALUE"""),"675707")</f>
        <v>675707</v>
      </c>
      <c r="C275" s="48" t="str">
        <f ca="1">IFERROR(__xludf.DUMMYFUNCTION("""COMPUTED_VALUE"""),"RATHANA")</f>
        <v>RATHANA</v>
      </c>
      <c r="D275" s="48" t="str">
        <f ca="1">IFERROR(__xludf.DUMMYFUNCTION("""COMPUTED_VALUE"""),"Sereirith")</f>
        <v>Sereirith</v>
      </c>
      <c r="E275" s="49" t="str">
        <f ca="1">IFERROR(__xludf.DUMMYFUNCTION("""COMPUTED_VALUE"""),"06670002")</f>
        <v>06670002</v>
      </c>
      <c r="F275" s="48" t="str">
        <f ca="1">IFERROR(__xludf.DUMMYFUNCTION("""COMPUTED_VALUE"""),"STRASBOURG ST JEAN CS 1852")</f>
        <v>STRASBOURG ST JEAN CS 1852</v>
      </c>
      <c r="G275" s="50" t="str">
        <f ca="1">IFERROR(__xludf.DUMMYFUNCTION("""COMPUTED_VALUE"""),"CD67")</f>
        <v>CD67</v>
      </c>
      <c r="H275" s="50" t="str">
        <f ca="1">IFERROR(__xludf.DUMMYFUNCTION("""COMPUTED_VALUE"""),"actif")</f>
        <v>actif</v>
      </c>
    </row>
    <row r="276" spans="1:8" ht="12.75">
      <c r="A276" s="46">
        <f ca="1">IFERROR(__xludf.DUMMYFUNCTION("""COMPUTED_VALUE"""),264)</f>
        <v>264</v>
      </c>
      <c r="B276" s="47" t="str">
        <f ca="1">IFERROR(__xludf.DUMMYFUNCTION("""COMPUTED_VALUE"""),"6720868")</f>
        <v>6720868</v>
      </c>
      <c r="C276" s="48" t="str">
        <f ca="1">IFERROR(__xludf.DUMMYFUNCTION("""COMPUTED_VALUE"""),"RATHANA")</f>
        <v>RATHANA</v>
      </c>
      <c r="D276" s="48" t="str">
        <f ca="1">IFERROR(__xludf.DUMMYFUNCTION("""COMPUTED_VALUE"""),"Clement")</f>
        <v>Clement</v>
      </c>
      <c r="E276" s="49" t="str">
        <f ca="1">IFERROR(__xludf.DUMMYFUNCTION("""COMPUTED_VALUE"""),"06670002")</f>
        <v>06670002</v>
      </c>
      <c r="F276" s="48" t="str">
        <f ca="1">IFERROR(__xludf.DUMMYFUNCTION("""COMPUTED_VALUE"""),"STRASBOURG ST JEAN CS 1852")</f>
        <v>STRASBOURG ST JEAN CS 1852</v>
      </c>
      <c r="G276" s="50" t="str">
        <f ca="1">IFERROR(__xludf.DUMMYFUNCTION("""COMPUTED_VALUE"""),"CD67")</f>
        <v>CD67</v>
      </c>
      <c r="H276" s="50" t="str">
        <f ca="1">IFERROR(__xludf.DUMMYFUNCTION("""COMPUTED_VALUE"""),"actif")</f>
        <v>actif</v>
      </c>
    </row>
    <row r="277" spans="1:8" ht="12.75">
      <c r="A277" s="46">
        <f ca="1">IFERROR(__xludf.DUMMYFUNCTION("""COMPUTED_VALUE"""),265)</f>
        <v>265</v>
      </c>
      <c r="B277" s="47" t="str">
        <f ca="1">IFERROR(__xludf.DUMMYFUNCTION("""COMPUTED_VALUE"""),"8814378")</f>
        <v>8814378</v>
      </c>
      <c r="C277" s="48" t="str">
        <f ca="1">IFERROR(__xludf.DUMMYFUNCTION("""COMPUTED_VALUE"""),"RATTAIRE")</f>
        <v>RATTAIRE</v>
      </c>
      <c r="D277" s="48" t="str">
        <f ca="1">IFERROR(__xludf.DUMMYFUNCTION("""COMPUTED_VALUE"""),"Stephane")</f>
        <v>Stephane</v>
      </c>
      <c r="E277" s="49" t="str">
        <f ca="1">IFERROR(__xludf.DUMMYFUNCTION("""COMPUTED_VALUE"""),"06880002")</f>
        <v>06880002</v>
      </c>
      <c r="F277" s="48" t="str">
        <f ca="1">IFERROR(__xludf.DUMMYFUNCTION("""COMPUTED_VALUE"""),"ANOULD Cercle Pongiste")</f>
        <v>ANOULD Cercle Pongiste</v>
      </c>
      <c r="G277" s="50" t="str">
        <f ca="1">IFERROR(__xludf.DUMMYFUNCTION("""COMPUTED_VALUE"""),"CD88")</f>
        <v>CD88</v>
      </c>
      <c r="H277" s="50" t="str">
        <f ca="1">IFERROR(__xludf.DUMMYFUNCTION("""COMPUTED_VALUE"""),"actif")</f>
        <v>actif</v>
      </c>
    </row>
    <row r="278" spans="1:8" ht="12.75">
      <c r="A278" s="46">
        <f ca="1">IFERROR(__xludf.DUMMYFUNCTION("""COMPUTED_VALUE"""),266)</f>
        <v>266</v>
      </c>
      <c r="B278" s="47" t="str">
        <f ca="1">IFERROR(__xludf.DUMMYFUNCTION("""COMPUTED_VALUE"""),"6718917")</f>
        <v>6718917</v>
      </c>
      <c r="C278" s="48" t="str">
        <f ca="1">IFERROR(__xludf.DUMMYFUNCTION("""COMPUTED_VALUE"""),"REINHARDT")</f>
        <v>REINHARDT</v>
      </c>
      <c r="D278" s="48" t="str">
        <f ca="1">IFERROR(__xludf.DUMMYFUNCTION("""COMPUTED_VALUE"""),"Clement")</f>
        <v>Clement</v>
      </c>
      <c r="E278" s="49" t="str">
        <f ca="1">IFERROR(__xludf.DUMMYFUNCTION("""COMPUTED_VALUE"""),"06670115")</f>
        <v>06670115</v>
      </c>
      <c r="F278" s="48" t="str">
        <f ca="1">IFERROR(__xludf.DUMMYFUNCTION("""COMPUTED_VALUE"""),"GUNDERSHOFFEN P79")</f>
        <v>GUNDERSHOFFEN P79</v>
      </c>
      <c r="G278" s="52" t="str">
        <f ca="1">IFERROR(__xludf.DUMMYFUNCTION("""COMPUTED_VALUE"""),"CD67")</f>
        <v>CD67</v>
      </c>
      <c r="H278" s="50" t="str">
        <f ca="1">IFERROR(__xludf.DUMMYFUNCTION("""COMPUTED_VALUE"""),"actif")</f>
        <v>actif</v>
      </c>
    </row>
    <row r="279" spans="1:8" ht="12.75">
      <c r="A279" s="46">
        <f ca="1">IFERROR(__xludf.DUMMYFUNCTION("""COMPUTED_VALUE"""),267)</f>
        <v>267</v>
      </c>
      <c r="B279" s="47" t="str">
        <f ca="1">IFERROR(__xludf.DUMMYFUNCTION("""COMPUTED_VALUE"""),"8819857")</f>
        <v>8819857</v>
      </c>
      <c r="C279" s="48" t="str">
        <f ca="1">IFERROR(__xludf.DUMMYFUNCTION("""COMPUTED_VALUE"""),"REMOND")</f>
        <v>REMOND</v>
      </c>
      <c r="D279" s="48" t="str">
        <f ca="1">IFERROR(__xludf.DUMMYFUNCTION("""COMPUTED_VALUE"""),"Lilian")</f>
        <v>Lilian</v>
      </c>
      <c r="E279" s="49" t="str">
        <f ca="1">IFERROR(__xludf.DUMMYFUNCTION("""COMPUTED_VALUE"""),"06880010")</f>
        <v>06880010</v>
      </c>
      <c r="F279" s="48" t="str">
        <f ca="1">IFERROR(__xludf.DUMMYFUNCTION("""COMPUTED_VALUE"""),"SAINT DIE SRDTT")</f>
        <v>SAINT DIE SRDTT</v>
      </c>
      <c r="G279" s="52" t="str">
        <f ca="1">IFERROR(__xludf.DUMMYFUNCTION("""COMPUTED_VALUE"""),"CD88")</f>
        <v>CD88</v>
      </c>
      <c r="H279" s="50" t="str">
        <f ca="1">IFERROR(__xludf.DUMMYFUNCTION("""COMPUTED_VALUE"""),"actif")</f>
        <v>actif</v>
      </c>
    </row>
    <row r="280" spans="1:8" ht="12.75">
      <c r="A280" s="46">
        <f ca="1">IFERROR(__xludf.DUMMYFUNCTION("""COMPUTED_VALUE"""),268)</f>
        <v>268</v>
      </c>
      <c r="B280" s="47" t="str">
        <f ca="1">IFERROR(__xludf.DUMMYFUNCTION("""COMPUTED_VALUE"""),"6810196")</f>
        <v>6810196</v>
      </c>
      <c r="C280" s="48" t="str">
        <f ca="1">IFERROR(__xludf.DUMMYFUNCTION("""COMPUTED_VALUE"""),"REY")</f>
        <v>REY</v>
      </c>
      <c r="D280" s="48" t="str">
        <f ca="1">IFERROR(__xludf.DUMMYFUNCTION("""COMPUTED_VALUE"""),"Benoit")</f>
        <v>Benoit</v>
      </c>
      <c r="E280" s="49" t="str">
        <f ca="1">IFERROR(__xludf.DUMMYFUNCTION("""COMPUTED_VALUE"""),"06680125")</f>
        <v>06680125</v>
      </c>
      <c r="F280" s="48" t="str">
        <f ca="1">IFERROR(__xludf.DUMMYFUNCTION("""COMPUTED_VALUE"""),"ROSENAU TT")</f>
        <v>ROSENAU TT</v>
      </c>
      <c r="G280" s="50" t="str">
        <f ca="1">IFERROR(__xludf.DUMMYFUNCTION("""COMPUTED_VALUE"""),"CD68")</f>
        <v>CD68</v>
      </c>
      <c r="H280" s="50" t="str">
        <f ca="1">IFERROR(__xludf.DUMMYFUNCTION("""COMPUTED_VALUE"""),"actif")</f>
        <v>actif</v>
      </c>
    </row>
    <row r="281" spans="1:8" ht="12.75">
      <c r="A281" s="46">
        <f ca="1">IFERROR(__xludf.DUMMYFUNCTION("""COMPUTED_VALUE"""),269)</f>
        <v>269</v>
      </c>
      <c r="B281" s="47" t="str">
        <f ca="1">IFERROR(__xludf.DUMMYFUNCTION("""COMPUTED_VALUE"""),"5435316")</f>
        <v>5435316</v>
      </c>
      <c r="C281" s="48" t="str">
        <f ca="1">IFERROR(__xludf.DUMMYFUNCTION("""COMPUTED_VALUE"""),"RICCI")</f>
        <v>RICCI</v>
      </c>
      <c r="D281" s="48" t="str">
        <f ca="1">IFERROR(__xludf.DUMMYFUNCTION("""COMPUTED_VALUE"""),"Louka")</f>
        <v>Louka</v>
      </c>
      <c r="E281" s="49" t="str">
        <f ca="1">IFERROR(__xludf.DUMMYFUNCTION("""COMPUTED_VALUE"""),"06540010")</f>
        <v>06540010</v>
      </c>
      <c r="F281" s="48" t="str">
        <f ca="1">IFERROR(__xludf.DUMMYFUNCTION("""COMPUTED_VALUE"""),"FOUG C.P.")</f>
        <v>FOUG C.P.</v>
      </c>
      <c r="G281" s="50" t="str">
        <f ca="1">IFERROR(__xludf.DUMMYFUNCTION("""COMPUTED_VALUE"""),"CD54")</f>
        <v>CD54</v>
      </c>
      <c r="H281" s="50" t="str">
        <f ca="1">IFERROR(__xludf.DUMMYFUNCTION("""COMPUTED_VALUE"""),"actif")</f>
        <v>actif</v>
      </c>
    </row>
    <row r="282" spans="1:8" ht="12.75">
      <c r="A282" s="46">
        <f ca="1">IFERROR(__xludf.DUMMYFUNCTION("""COMPUTED_VALUE"""),270)</f>
        <v>270</v>
      </c>
      <c r="B282" s="47" t="str">
        <f ca="1">IFERROR(__xludf.DUMMYFUNCTION("""COMPUTED_VALUE"""),"5733582")</f>
        <v>5733582</v>
      </c>
      <c r="C282" s="48" t="str">
        <f ca="1">IFERROR(__xludf.DUMMYFUNCTION("""COMPUTED_VALUE"""),"RICCO")</f>
        <v>RICCO</v>
      </c>
      <c r="D282" s="48" t="str">
        <f ca="1">IFERROR(__xludf.DUMMYFUNCTION("""COMPUTED_VALUE"""),"Jean-Baptiste")</f>
        <v>Jean-Baptiste</v>
      </c>
      <c r="E282" s="49" t="str">
        <f ca="1">IFERROR(__xludf.DUMMYFUNCTION("""COMPUTED_VALUE"""),"06570107")</f>
        <v>06570107</v>
      </c>
      <c r="F282" s="48" t="str">
        <f ca="1">IFERROR(__xludf.DUMMYFUNCTION("""COMPUTED_VALUE"""),"MAIZIÈRES-LÈS-METZ T.T.")</f>
        <v>MAIZIÈRES-LÈS-METZ T.T.</v>
      </c>
      <c r="G282" s="50" t="str">
        <f ca="1">IFERROR(__xludf.DUMMYFUNCTION("""COMPUTED_VALUE"""),"CD57")</f>
        <v>CD57</v>
      </c>
      <c r="H282" s="50" t="str">
        <f ca="1">IFERROR(__xludf.DUMMYFUNCTION("""COMPUTED_VALUE"""),"actif")</f>
        <v>actif</v>
      </c>
    </row>
    <row r="283" spans="1:8" ht="12.75">
      <c r="A283" s="46">
        <f ca="1">IFERROR(__xludf.DUMMYFUNCTION("""COMPUTED_VALUE"""),271)</f>
        <v>271</v>
      </c>
      <c r="B283" s="47" t="str">
        <f ca="1">IFERROR(__xludf.DUMMYFUNCTION("""COMPUTED_VALUE"""),"8820718")</f>
        <v>8820718</v>
      </c>
      <c r="C283" s="48" t="str">
        <f ca="1">IFERROR(__xludf.DUMMYFUNCTION("""COMPUTED_VALUE"""),"RICHARD")</f>
        <v>RICHARD</v>
      </c>
      <c r="D283" s="48" t="str">
        <f ca="1">IFERROR(__xludf.DUMMYFUNCTION("""COMPUTED_VALUE"""),"Cyrielle")</f>
        <v>Cyrielle</v>
      </c>
      <c r="E283" s="49" t="str">
        <f ca="1">IFERROR(__xludf.DUMMYFUNCTION("""COMPUTED_VALUE"""),"06880145")</f>
        <v>06880145</v>
      </c>
      <c r="F283" s="48" t="str">
        <f ca="1">IFERROR(__xludf.DUMMYFUNCTION("""COMPUTED_VALUE"""),"THAON CHENIMENIL E.S.T.T.")</f>
        <v>THAON CHENIMENIL E.S.T.T.</v>
      </c>
      <c r="G283" s="50" t="str">
        <f ca="1">IFERROR(__xludf.DUMMYFUNCTION("""COMPUTED_VALUE"""),"CD88")</f>
        <v>CD88</v>
      </c>
      <c r="H283" s="50" t="str">
        <f ca="1">IFERROR(__xludf.DUMMYFUNCTION("""COMPUTED_VALUE"""),"actif")</f>
        <v>actif</v>
      </c>
    </row>
    <row r="284" spans="1:8" ht="12.75">
      <c r="A284" s="46">
        <f ca="1">IFERROR(__xludf.DUMMYFUNCTION("""COMPUTED_VALUE"""),272)</f>
        <v>272</v>
      </c>
      <c r="B284" s="47" t="str">
        <f ca="1">IFERROR(__xludf.DUMMYFUNCTION("""COMPUTED_VALUE"""),"5415324")</f>
        <v>5415324</v>
      </c>
      <c r="C284" s="48" t="str">
        <f ca="1">IFERROR(__xludf.DUMMYFUNCTION("""COMPUTED_VALUE"""),"RIEFFEL")</f>
        <v>RIEFFEL</v>
      </c>
      <c r="D284" s="48" t="str">
        <f ca="1">IFERROR(__xludf.DUMMYFUNCTION("""COMPUTED_VALUE"""),"Franc")</f>
        <v>Franc</v>
      </c>
      <c r="E284" s="49" t="str">
        <f ca="1">IFERROR(__xludf.DUMMYFUNCTION("""COMPUTED_VALUE"""),"06540011")</f>
        <v>06540011</v>
      </c>
      <c r="F284" s="48" t="str">
        <f ca="1">IFERROR(__xludf.DUMMYFUNCTION("""COMPUTED_VALUE"""),"Frouard O.F.P.")</f>
        <v>Frouard O.F.P.</v>
      </c>
      <c r="G284" s="50" t="str">
        <f ca="1">IFERROR(__xludf.DUMMYFUNCTION("""COMPUTED_VALUE"""),"CD54")</f>
        <v>CD54</v>
      </c>
      <c r="H284" s="50" t="str">
        <f ca="1">IFERROR(__xludf.DUMMYFUNCTION("""COMPUTED_VALUE"""),"actif")</f>
        <v>actif</v>
      </c>
    </row>
    <row r="285" spans="1:8" ht="12.75">
      <c r="A285" s="46">
        <f ca="1">IFERROR(__xludf.DUMMYFUNCTION("""COMPUTED_VALUE"""),273)</f>
        <v>273</v>
      </c>
      <c r="B285" s="47" t="str">
        <f ca="1">IFERROR(__xludf.DUMMYFUNCTION("""COMPUTED_VALUE"""),"5734459")</f>
        <v>5734459</v>
      </c>
      <c r="C285" s="48" t="str">
        <f ca="1">IFERROR(__xludf.DUMMYFUNCTION("""COMPUTED_VALUE"""),"RIGAULT")</f>
        <v>RIGAULT</v>
      </c>
      <c r="D285" s="48" t="str">
        <f ca="1">IFERROR(__xludf.DUMMYFUNCTION("""COMPUTED_VALUE"""),"Theo")</f>
        <v>Theo</v>
      </c>
      <c r="E285" s="49" t="str">
        <f ca="1">IFERROR(__xludf.DUMMYFUNCTION("""COMPUTED_VALUE"""),"06570190")</f>
        <v>06570190</v>
      </c>
      <c r="F285" s="48" t="str">
        <f ca="1">IFERROR(__xludf.DUMMYFUNCTION("""COMPUTED_VALUE"""),"METZ Tennis de Table")</f>
        <v>METZ Tennis de Table</v>
      </c>
      <c r="G285" s="50" t="str">
        <f ca="1">IFERROR(__xludf.DUMMYFUNCTION("""COMPUTED_VALUE"""),"CD57")</f>
        <v>CD57</v>
      </c>
      <c r="H285" s="50" t="str">
        <f ca="1">IFERROR(__xludf.DUMMYFUNCTION("""COMPUTED_VALUE"""),"actif")</f>
        <v>actif</v>
      </c>
    </row>
    <row r="286" spans="1:8" ht="12.75">
      <c r="A286" s="46">
        <f ca="1">IFERROR(__xludf.DUMMYFUNCTION("""COMPUTED_VALUE"""),274)</f>
        <v>274</v>
      </c>
      <c r="B286" s="47" t="str">
        <f ca="1">IFERROR(__xludf.DUMMYFUNCTION("""COMPUTED_VALUE"""),"8814371")</f>
        <v>8814371</v>
      </c>
      <c r="C286" s="48" t="str">
        <f ca="1">IFERROR(__xludf.DUMMYFUNCTION("""COMPUTED_VALUE"""),"RINNER")</f>
        <v>RINNER</v>
      </c>
      <c r="D286" s="48" t="str">
        <f ca="1">IFERROR(__xludf.DUMMYFUNCTION("""COMPUTED_VALUE"""),"Sylvain")</f>
        <v>Sylvain</v>
      </c>
      <c r="E286" s="49" t="str">
        <f ca="1">IFERROR(__xludf.DUMMYFUNCTION("""COMPUTED_VALUE"""),"06680130")</f>
        <v>06680130</v>
      </c>
      <c r="F286" s="48" t="str">
        <f ca="1">IFERROR(__xludf.DUMMYFUNCTION("""COMPUTED_VALUE"""),"VAL de LIEPVRE ASL")</f>
        <v>VAL de LIEPVRE ASL</v>
      </c>
      <c r="G286" s="50" t="str">
        <f ca="1">IFERROR(__xludf.DUMMYFUNCTION("""COMPUTED_VALUE"""),"CD68")</f>
        <v>CD68</v>
      </c>
      <c r="H286" s="50" t="str">
        <f ca="1">IFERROR(__xludf.DUMMYFUNCTION("""COMPUTED_VALUE"""),"actif")</f>
        <v>actif</v>
      </c>
    </row>
    <row r="287" spans="1:8" ht="12.75">
      <c r="A287" s="46">
        <f ca="1">IFERROR(__xludf.DUMMYFUNCTION("""COMPUTED_VALUE"""),275)</f>
        <v>275</v>
      </c>
      <c r="B287" s="47" t="str">
        <f ca="1">IFERROR(__xludf.DUMMYFUNCTION("""COMPUTED_VALUE"""),"5710613")</f>
        <v>5710613</v>
      </c>
      <c r="C287" s="48" t="str">
        <f ca="1">IFERROR(__xludf.DUMMYFUNCTION("""COMPUTED_VALUE"""),"ROBACH")</f>
        <v>ROBACH</v>
      </c>
      <c r="D287" s="48" t="str">
        <f ca="1">IFERROR(__xludf.DUMMYFUNCTION("""COMPUTED_VALUE"""),"Emilie")</f>
        <v>Emilie</v>
      </c>
      <c r="E287" s="49" t="str">
        <f ca="1">IFERROR(__xludf.DUMMYFUNCTION("""COMPUTED_VALUE"""),"06570158")</f>
        <v>06570158</v>
      </c>
      <c r="F287" s="48" t="str">
        <f ca="1">IFERROR(__xludf.DUMMYFUNCTION("""COMPUTED_VALUE"""),"KNUTANGE-NILVANGE TT")</f>
        <v>KNUTANGE-NILVANGE TT</v>
      </c>
      <c r="G287" s="50" t="str">
        <f ca="1">IFERROR(__xludf.DUMMYFUNCTION("""COMPUTED_VALUE"""),"CD57")</f>
        <v>CD57</v>
      </c>
      <c r="H287" s="50" t="str">
        <f ca="1">IFERROR(__xludf.DUMMYFUNCTION("""COMPUTED_VALUE"""),"actif")</f>
        <v>actif</v>
      </c>
    </row>
    <row r="288" spans="1:8" ht="12.75">
      <c r="A288" s="46">
        <f ca="1">IFERROR(__xludf.DUMMYFUNCTION("""COMPUTED_VALUE"""),276)</f>
        <v>276</v>
      </c>
      <c r="B288" s="47" t="str">
        <f ca="1">IFERROR(__xludf.DUMMYFUNCTION("""COMPUTED_VALUE"""),"8815325")</f>
        <v>8815325</v>
      </c>
      <c r="C288" s="48" t="str">
        <f ca="1">IFERROR(__xludf.DUMMYFUNCTION("""COMPUTED_VALUE"""),"ROBIN")</f>
        <v>ROBIN</v>
      </c>
      <c r="D288" s="48" t="str">
        <f ca="1">IFERROR(__xludf.DUMMYFUNCTION("""COMPUTED_VALUE"""),"Frederic")</f>
        <v>Frederic</v>
      </c>
      <c r="E288" s="49" t="str">
        <f ca="1">IFERROR(__xludf.DUMMYFUNCTION("""COMPUTED_VALUE"""),"06880002")</f>
        <v>06880002</v>
      </c>
      <c r="F288" s="48" t="str">
        <f ca="1">IFERROR(__xludf.DUMMYFUNCTION("""COMPUTED_VALUE"""),"ANOULD Cercle Pongiste")</f>
        <v>ANOULD Cercle Pongiste</v>
      </c>
      <c r="G288" s="50" t="str">
        <f ca="1">IFERROR(__xludf.DUMMYFUNCTION("""COMPUTED_VALUE"""),"CD88")</f>
        <v>CD88</v>
      </c>
      <c r="H288" s="50" t="str">
        <f ca="1">IFERROR(__xludf.DUMMYFUNCTION("""COMPUTED_VALUE"""),"actif")</f>
        <v>actif</v>
      </c>
    </row>
    <row r="289" spans="1:8" ht="12.75">
      <c r="A289" s="46">
        <f ca="1">IFERROR(__xludf.DUMMYFUNCTION("""COMPUTED_VALUE"""),277)</f>
        <v>277</v>
      </c>
      <c r="B289" s="47" t="str">
        <f ca="1">IFERROR(__xludf.DUMMYFUNCTION("""COMPUTED_VALUE"""),"8815326")</f>
        <v>8815326</v>
      </c>
      <c r="C289" s="48" t="str">
        <f ca="1">IFERROR(__xludf.DUMMYFUNCTION("""COMPUTED_VALUE"""),"ROBIN")</f>
        <v>ROBIN</v>
      </c>
      <c r="D289" s="48" t="str">
        <f ca="1">IFERROR(__xludf.DUMMYFUNCTION("""COMPUTED_VALUE"""),"Elisabeth")</f>
        <v>Elisabeth</v>
      </c>
      <c r="E289" s="49" t="str">
        <f ca="1">IFERROR(__xludf.DUMMYFUNCTION("""COMPUTED_VALUE"""),"06880002")</f>
        <v>06880002</v>
      </c>
      <c r="F289" s="48" t="str">
        <f ca="1">IFERROR(__xludf.DUMMYFUNCTION("""COMPUTED_VALUE"""),"ANOULD Cercle Pongiste")</f>
        <v>ANOULD Cercle Pongiste</v>
      </c>
      <c r="G289" s="50" t="str">
        <f ca="1">IFERROR(__xludf.DUMMYFUNCTION("""COMPUTED_VALUE"""),"CD88")</f>
        <v>CD88</v>
      </c>
      <c r="H289" s="50" t="str">
        <f ca="1">IFERROR(__xludf.DUMMYFUNCTION("""COMPUTED_VALUE"""),"actif")</f>
        <v>actif</v>
      </c>
    </row>
    <row r="290" spans="1:8" ht="12.75">
      <c r="A290" s="46">
        <f ca="1">IFERROR(__xludf.DUMMYFUNCTION("""COMPUTED_VALUE"""),278)</f>
        <v>278</v>
      </c>
      <c r="B290" s="47" t="str">
        <f ca="1">IFERROR(__xludf.DUMMYFUNCTION("""COMPUTED_VALUE"""),"8815902")</f>
        <v>8815902</v>
      </c>
      <c r="C290" s="48" t="str">
        <f ca="1">IFERROR(__xludf.DUMMYFUNCTION("""COMPUTED_VALUE"""),"ROMANELLO")</f>
        <v>ROMANELLO</v>
      </c>
      <c r="D290" s="48" t="str">
        <f ca="1">IFERROR(__xludf.DUMMYFUNCTION("""COMPUTED_VALUE"""),"Pascal")</f>
        <v>Pascal</v>
      </c>
      <c r="E290" s="49" t="str">
        <f ca="1">IFERROR(__xludf.DUMMYFUNCTION("""COMPUTED_VALUE"""),"06880002")</f>
        <v>06880002</v>
      </c>
      <c r="F290" s="48" t="str">
        <f ca="1">IFERROR(__xludf.DUMMYFUNCTION("""COMPUTED_VALUE"""),"ANOULD Cercle Pongiste")</f>
        <v>ANOULD Cercle Pongiste</v>
      </c>
      <c r="G290" s="50" t="str">
        <f ca="1">IFERROR(__xludf.DUMMYFUNCTION("""COMPUTED_VALUE"""),"CD88")</f>
        <v>CD88</v>
      </c>
      <c r="H290" s="50" t="str">
        <f ca="1">IFERROR(__xludf.DUMMYFUNCTION("""COMPUTED_VALUE"""),"actif")</f>
        <v>actif</v>
      </c>
    </row>
    <row r="291" spans="1:8" ht="12.75">
      <c r="A291" s="46">
        <f ca="1">IFERROR(__xludf.DUMMYFUNCTION("""COMPUTED_VALUE"""),279)</f>
        <v>279</v>
      </c>
      <c r="B291" s="47" t="str">
        <f ca="1">IFERROR(__xludf.DUMMYFUNCTION("""COMPUTED_VALUE"""),"679803")</f>
        <v>679803</v>
      </c>
      <c r="C291" s="48" t="str">
        <f ca="1">IFERROR(__xludf.DUMMYFUNCTION("""COMPUTED_VALUE"""),"ROTH")</f>
        <v>ROTH</v>
      </c>
      <c r="D291" s="48" t="str">
        <f ca="1">IFERROR(__xludf.DUMMYFUNCTION("""COMPUTED_VALUE"""),"Paul")</f>
        <v>Paul</v>
      </c>
      <c r="E291" s="49" t="str">
        <f ca="1">IFERROR(__xludf.DUMMYFUNCTION("""COMPUTED_VALUE"""),"06670122")</f>
        <v>06670122</v>
      </c>
      <c r="F291" s="48" t="str">
        <f ca="1">IFERROR(__xludf.DUMMYFUNCTION("""COMPUTED_VALUE"""),"OBERNAI CA")</f>
        <v>OBERNAI CA</v>
      </c>
      <c r="G291" s="50" t="str">
        <f ca="1">IFERROR(__xludf.DUMMYFUNCTION("""COMPUTED_VALUE"""),"CD67")</f>
        <v>CD67</v>
      </c>
      <c r="H291" s="50" t="str">
        <f ca="1">IFERROR(__xludf.DUMMYFUNCTION("""COMPUTED_VALUE"""),"actif")</f>
        <v>actif</v>
      </c>
    </row>
    <row r="292" spans="1:8" ht="12.75">
      <c r="A292" s="46">
        <f ca="1">IFERROR(__xludf.DUMMYFUNCTION("""COMPUTED_VALUE"""),280)</f>
        <v>280</v>
      </c>
      <c r="B292" s="47" t="str">
        <f ca="1">IFERROR(__xludf.DUMMYFUNCTION("""COMPUTED_VALUE"""),"5719516")</f>
        <v>5719516</v>
      </c>
      <c r="C292" s="48" t="str">
        <f ca="1">IFERROR(__xludf.DUMMYFUNCTION("""COMPUTED_VALUE"""),"ROTH")</f>
        <v>ROTH</v>
      </c>
      <c r="D292" s="48" t="str">
        <f ca="1">IFERROR(__xludf.DUMMYFUNCTION("""COMPUTED_VALUE"""),"Guy")</f>
        <v>Guy</v>
      </c>
      <c r="E292" s="49" t="str">
        <f ca="1">IFERROR(__xludf.DUMMYFUNCTION("""COMPUTED_VALUE"""),"06570073")</f>
        <v>06570073</v>
      </c>
      <c r="F292" s="48" t="str">
        <f ca="1">IFERROR(__xludf.DUMMYFUNCTION("""COMPUTED_VALUE"""),"TERVILLE Tennis de Table")</f>
        <v>TERVILLE Tennis de Table</v>
      </c>
      <c r="G292" s="50" t="str">
        <f ca="1">IFERROR(__xludf.DUMMYFUNCTION("""COMPUTED_VALUE"""),"CD57")</f>
        <v>CD57</v>
      </c>
      <c r="H292" s="50" t="str">
        <f ca="1">IFERROR(__xludf.DUMMYFUNCTION("""COMPUTED_VALUE"""),"actif")</f>
        <v>actif</v>
      </c>
    </row>
    <row r="293" spans="1:8" ht="12.75">
      <c r="A293" s="46">
        <f ca="1">IFERROR(__xludf.DUMMYFUNCTION("""COMPUTED_VALUE"""),281)</f>
        <v>281</v>
      </c>
      <c r="B293" s="47" t="str">
        <f ca="1">IFERROR(__xludf.DUMMYFUNCTION("""COMPUTED_VALUE"""),"0813744")</f>
        <v>0813744</v>
      </c>
      <c r="C293" s="48" t="str">
        <f ca="1">IFERROR(__xludf.DUMMYFUNCTION("""COMPUTED_VALUE"""),"ROUZÉ")</f>
        <v>ROUZÉ</v>
      </c>
      <c r="D293" s="48" t="str">
        <f ca="1">IFERROR(__xludf.DUMMYFUNCTION("""COMPUTED_VALUE"""),"Jules")</f>
        <v>Jules</v>
      </c>
      <c r="E293" s="49" t="str">
        <f ca="1">IFERROR(__xludf.DUMMYFUNCTION("""COMPUTED_VALUE"""),"06080074")</f>
        <v>06080074</v>
      </c>
      <c r="F293" s="48" t="str">
        <f ca="1">IFERROR(__xludf.DUMMYFUNCTION("""COMPUTED_VALUE"""),"NOUZONVILLE CTT")</f>
        <v>NOUZONVILLE CTT</v>
      </c>
      <c r="G293" s="50" t="str">
        <f ca="1">IFERROR(__xludf.DUMMYFUNCTION("""COMPUTED_VALUE"""),"CD08")</f>
        <v>CD08</v>
      </c>
      <c r="H293" s="50" t="str">
        <f ca="1">IFERROR(__xludf.DUMMYFUNCTION("""COMPUTED_VALUE"""),"actif")</f>
        <v>actif</v>
      </c>
    </row>
    <row r="294" spans="1:8" ht="12.75">
      <c r="A294" s="46">
        <f ca="1">IFERROR(__xludf.DUMMYFUNCTION("""COMPUTED_VALUE"""),282)</f>
        <v>282</v>
      </c>
      <c r="B294" s="47" t="str">
        <f ca="1">IFERROR(__xludf.DUMMYFUNCTION("""COMPUTED_VALUE"""),"5734472")</f>
        <v>5734472</v>
      </c>
      <c r="C294" s="48" t="str">
        <f ca="1">IFERROR(__xludf.DUMMYFUNCTION("""COMPUTED_VALUE"""),"SABRI")</f>
        <v>SABRI</v>
      </c>
      <c r="D294" s="48" t="str">
        <f ca="1">IFERROR(__xludf.DUMMYFUNCTION("""COMPUTED_VALUE"""),"Samuel")</f>
        <v>Samuel</v>
      </c>
      <c r="E294" s="49" t="str">
        <f ca="1">IFERROR(__xludf.DUMMYFUNCTION("""COMPUTED_VALUE"""),"06570005")</f>
        <v>06570005</v>
      </c>
      <c r="F294" s="48" t="str">
        <f ca="1">IFERROR(__xludf.DUMMYFUNCTION("""COMPUTED_VALUE"""),"FAULQUEMONT E.S.C.")</f>
        <v>FAULQUEMONT E.S.C.</v>
      </c>
      <c r="G294" s="50" t="str">
        <f ca="1">IFERROR(__xludf.DUMMYFUNCTION("""COMPUTED_VALUE"""),"CD57")</f>
        <v>CD57</v>
      </c>
      <c r="H294" s="50" t="str">
        <f ca="1">IFERROR(__xludf.DUMMYFUNCTION("""COMPUTED_VALUE"""),"actif")</f>
        <v>actif</v>
      </c>
    </row>
    <row r="295" spans="1:8" ht="12.75">
      <c r="A295" s="46">
        <f ca="1">IFERROR(__xludf.DUMMYFUNCTION("""COMPUTED_VALUE"""),283)</f>
        <v>283</v>
      </c>
      <c r="B295" s="47" t="str">
        <f ca="1">IFERROR(__xludf.DUMMYFUNCTION("""COMPUTED_VALUE"""),"5437276")</f>
        <v>5437276</v>
      </c>
      <c r="C295" s="48" t="str">
        <f ca="1">IFERROR(__xludf.DUMMYFUNCTION("""COMPUTED_VALUE"""),"SALAMBIEN")</f>
        <v>SALAMBIEN</v>
      </c>
      <c r="D295" s="48" t="str">
        <f ca="1">IFERROR(__xludf.DUMMYFUNCTION("""COMPUTED_VALUE"""),"Rémi")</f>
        <v>Rémi</v>
      </c>
      <c r="E295" s="49" t="str">
        <f ca="1">IFERROR(__xludf.DUMMYFUNCTION("""COMPUTED_VALUE"""),"06540010")</f>
        <v>06540010</v>
      </c>
      <c r="F295" s="48" t="str">
        <f ca="1">IFERROR(__xludf.DUMMYFUNCTION("""COMPUTED_VALUE"""),"FOUG C.P.")</f>
        <v>FOUG C.P.</v>
      </c>
      <c r="G295" s="50" t="str">
        <f ca="1">IFERROR(__xludf.DUMMYFUNCTION("""COMPUTED_VALUE"""),"CD54")</f>
        <v>CD54</v>
      </c>
      <c r="H295" s="50" t="str">
        <f ca="1">IFERROR(__xludf.DUMMYFUNCTION("""COMPUTED_VALUE"""),"actif")</f>
        <v>actif</v>
      </c>
    </row>
    <row r="296" spans="1:8" ht="12.75">
      <c r="A296" s="46">
        <f ca="1">IFERROR(__xludf.DUMMYFUNCTION("""COMPUTED_VALUE"""),284)</f>
        <v>284</v>
      </c>
      <c r="B296" s="47" t="str">
        <f ca="1">IFERROR(__xludf.DUMMYFUNCTION("""COMPUTED_VALUE"""),"558518")</f>
        <v>558518</v>
      </c>
      <c r="C296" s="48" t="str">
        <f ca="1">IFERROR(__xludf.DUMMYFUNCTION("""COMPUTED_VALUE"""),"SALQUEBRE")</f>
        <v>SALQUEBRE</v>
      </c>
      <c r="D296" s="48" t="str">
        <f ca="1">IFERROR(__xludf.DUMMYFUNCTION("""COMPUTED_VALUE"""),"Eliot")</f>
        <v>Eliot</v>
      </c>
      <c r="E296" s="49" t="str">
        <f ca="1">IFERROR(__xludf.DUMMYFUNCTION("""COMPUTED_VALUE"""),"06550005")</f>
        <v>06550005</v>
      </c>
      <c r="F296" s="48" t="str">
        <f ca="1">IFERROR(__xludf.DUMMYFUNCTION("""COMPUTED_VALUE"""),"SAINT MIHIEL P.P.C.")</f>
        <v>SAINT MIHIEL P.P.C.</v>
      </c>
      <c r="G296" s="50" t="str">
        <f ca="1">IFERROR(__xludf.DUMMYFUNCTION("""COMPUTED_VALUE"""),"CD55")</f>
        <v>CD55</v>
      </c>
      <c r="H296" s="50" t="str">
        <f ca="1">IFERROR(__xludf.DUMMYFUNCTION("""COMPUTED_VALUE"""),"actif")</f>
        <v>actif</v>
      </c>
    </row>
    <row r="297" spans="1:8" ht="12.75">
      <c r="A297" s="46">
        <f ca="1">IFERROR(__xludf.DUMMYFUNCTION("""COMPUTED_VALUE"""),285)</f>
        <v>285</v>
      </c>
      <c r="B297" s="47" t="str">
        <f ca="1">IFERROR(__xludf.DUMMYFUNCTION("""COMPUTED_VALUE"""),"5738807")</f>
        <v>5738807</v>
      </c>
      <c r="C297" s="48" t="str">
        <f ca="1">IFERROR(__xludf.DUMMYFUNCTION("""COMPUTED_VALUE"""),"SAMSON")</f>
        <v>SAMSON</v>
      </c>
      <c r="D297" s="48" t="str">
        <f ca="1">IFERROR(__xludf.DUMMYFUNCTION("""COMPUTED_VALUE"""),"Raphaël")</f>
        <v>Raphaël</v>
      </c>
      <c r="E297" s="49" t="str">
        <f ca="1">IFERROR(__xludf.DUMMYFUNCTION("""COMPUTED_VALUE"""),"06570073")</f>
        <v>06570073</v>
      </c>
      <c r="F297" s="48" t="str">
        <f ca="1">IFERROR(__xludf.DUMMYFUNCTION("""COMPUTED_VALUE"""),"TERVILLE Tennis de Table")</f>
        <v>TERVILLE Tennis de Table</v>
      </c>
      <c r="G297" s="50" t="str">
        <f ca="1">IFERROR(__xludf.DUMMYFUNCTION("""COMPUTED_VALUE"""),"CD57")</f>
        <v>CD57</v>
      </c>
      <c r="H297" s="50" t="str">
        <f ca="1">IFERROR(__xludf.DUMMYFUNCTION("""COMPUTED_VALUE"""),"actif")</f>
        <v>actif</v>
      </c>
    </row>
    <row r="298" spans="1:8" ht="12.75">
      <c r="A298" s="46">
        <f ca="1">IFERROR(__xludf.DUMMYFUNCTION("""COMPUTED_VALUE"""),286)</f>
        <v>286</v>
      </c>
      <c r="B298" s="47" t="str">
        <f ca="1">IFERROR(__xludf.DUMMYFUNCTION("""COMPUTED_VALUE"""),"885523")</f>
        <v>885523</v>
      </c>
      <c r="C298" s="48" t="str">
        <f ca="1">IFERROR(__xludf.DUMMYFUNCTION("""COMPUTED_VALUE"""),"SANCIER")</f>
        <v>SANCIER</v>
      </c>
      <c r="D298" s="48" t="str">
        <f ca="1">IFERROR(__xludf.DUMMYFUNCTION("""COMPUTED_VALUE"""),"Denis")</f>
        <v>Denis</v>
      </c>
      <c r="E298" s="49" t="str">
        <f ca="1">IFERROR(__xludf.DUMMYFUNCTION("""COMPUTED_VALUE"""),"06880007")</f>
        <v>06880007</v>
      </c>
      <c r="F298" s="48" t="str">
        <f ca="1">IFERROR(__xludf.DUMMYFUNCTION("""COMPUTED_VALUE"""),"NEUFCHATEAU T.T.")</f>
        <v>NEUFCHATEAU T.T.</v>
      </c>
      <c r="G298" s="50" t="str">
        <f ca="1">IFERROR(__xludf.DUMMYFUNCTION("""COMPUTED_VALUE"""),"CD88")</f>
        <v>CD88</v>
      </c>
      <c r="H298" s="50" t="str">
        <f ca="1">IFERROR(__xludf.DUMMYFUNCTION("""COMPUTED_VALUE"""),"actif")</f>
        <v>actif</v>
      </c>
    </row>
    <row r="299" spans="1:8" ht="12.75">
      <c r="A299" s="46">
        <f ca="1">IFERROR(__xludf.DUMMYFUNCTION("""COMPUTED_VALUE"""),287)</f>
        <v>287</v>
      </c>
      <c r="B299" s="47" t="str">
        <f ca="1">IFERROR(__xludf.DUMMYFUNCTION("""COMPUTED_VALUE"""),"6810333")</f>
        <v>6810333</v>
      </c>
      <c r="C299" s="48" t="str">
        <f ca="1">IFERROR(__xludf.DUMMYFUNCTION("""COMPUTED_VALUE"""),"SANTORO")</f>
        <v>SANTORO</v>
      </c>
      <c r="D299" s="48" t="str">
        <f ca="1">IFERROR(__xludf.DUMMYFUNCTION("""COMPUTED_VALUE"""),"Nathan")</f>
        <v>Nathan</v>
      </c>
      <c r="E299" s="49" t="str">
        <f ca="1">IFERROR(__xludf.DUMMYFUNCTION("""COMPUTED_VALUE"""),"06680125")</f>
        <v>06680125</v>
      </c>
      <c r="F299" s="48" t="str">
        <f ca="1">IFERROR(__xludf.DUMMYFUNCTION("""COMPUTED_VALUE"""),"ROSENAU TT")</f>
        <v>ROSENAU TT</v>
      </c>
      <c r="G299" s="50" t="str">
        <f ca="1">IFERROR(__xludf.DUMMYFUNCTION("""COMPUTED_VALUE"""),"CD68")</f>
        <v>CD68</v>
      </c>
      <c r="H299" s="50" t="str">
        <f ca="1">IFERROR(__xludf.DUMMYFUNCTION("""COMPUTED_VALUE"""),"actif")</f>
        <v>actif</v>
      </c>
    </row>
    <row r="300" spans="1:8" ht="12.75">
      <c r="A300" s="46">
        <f ca="1">IFERROR(__xludf.DUMMYFUNCTION("""COMPUTED_VALUE"""),288)</f>
        <v>288</v>
      </c>
      <c r="B300" s="47" t="str">
        <f ca="1">IFERROR(__xludf.DUMMYFUNCTION("""COMPUTED_VALUE"""),"0814221")</f>
        <v>0814221</v>
      </c>
      <c r="C300" s="48" t="str">
        <f ca="1">IFERROR(__xludf.DUMMYFUNCTION("""COMPUTED_VALUE"""),"SAUTRON")</f>
        <v>SAUTRON</v>
      </c>
      <c r="D300" s="48" t="str">
        <f ca="1">IFERROR(__xludf.DUMMYFUNCTION("""COMPUTED_VALUE"""),"Zachary")</f>
        <v>Zachary</v>
      </c>
      <c r="E300" s="49" t="str">
        <f ca="1">IFERROR(__xludf.DUMMYFUNCTION("""COMPUTED_VALUE"""),"06080035")</f>
        <v>06080035</v>
      </c>
      <c r="F300" s="48" t="str">
        <f ca="1">IFERROR(__xludf.DUMMYFUNCTION("""COMPUTED_VALUE"""),"CHARLEVILLE MEZIERES ARDENNES TT")</f>
        <v>CHARLEVILLE MEZIERES ARDENNES TT</v>
      </c>
      <c r="G300" s="50" t="str">
        <f ca="1">IFERROR(__xludf.DUMMYFUNCTION("""COMPUTED_VALUE"""),"CD08")</f>
        <v>CD08</v>
      </c>
      <c r="H300" s="50" t="str">
        <f ca="1">IFERROR(__xludf.DUMMYFUNCTION("""COMPUTED_VALUE"""),"actif")</f>
        <v>actif</v>
      </c>
    </row>
    <row r="301" spans="1:8" ht="12.75">
      <c r="A301" s="46">
        <f ca="1">IFERROR(__xludf.DUMMYFUNCTION("""COMPUTED_VALUE"""),289)</f>
        <v>289</v>
      </c>
      <c r="B301" s="47" t="str">
        <f ca="1">IFERROR(__xludf.DUMMYFUNCTION("""COMPUTED_VALUE"""),"5723029")</f>
        <v>5723029</v>
      </c>
      <c r="C301" s="48" t="str">
        <f ca="1">IFERROR(__xludf.DUMMYFUNCTION("""COMPUTED_VALUE"""),"SCHAEFFER")</f>
        <v>SCHAEFFER</v>
      </c>
      <c r="D301" s="48" t="str">
        <f ca="1">IFERROR(__xludf.DUMMYFUNCTION("""COMPUTED_VALUE"""),"Eric")</f>
        <v>Eric</v>
      </c>
      <c r="E301" s="49" t="str">
        <f ca="1">IFERROR(__xludf.DUMMYFUNCTION("""COMPUTED_VALUE"""),"06570111")</f>
        <v>06570111</v>
      </c>
      <c r="F301" s="48" t="str">
        <f ca="1">IFERROR(__xludf.DUMMYFUNCTION("""COMPUTED_VALUE"""),"SARREBOURG TT")</f>
        <v>SARREBOURG TT</v>
      </c>
      <c r="G301" s="50" t="str">
        <f ca="1">IFERROR(__xludf.DUMMYFUNCTION("""COMPUTED_VALUE"""),"CD57")</f>
        <v>CD57</v>
      </c>
      <c r="H301" s="50" t="str">
        <f ca="1">IFERROR(__xludf.DUMMYFUNCTION("""COMPUTED_VALUE"""),"actif")</f>
        <v>actif</v>
      </c>
    </row>
    <row r="302" spans="1:8" ht="12.75">
      <c r="A302" s="46">
        <f ca="1">IFERROR(__xludf.DUMMYFUNCTION("""COMPUTED_VALUE"""),290)</f>
        <v>290</v>
      </c>
      <c r="B302" s="47" t="str">
        <f ca="1">IFERROR(__xludf.DUMMYFUNCTION("""COMPUTED_VALUE"""),"5418123")</f>
        <v>5418123</v>
      </c>
      <c r="C302" s="48" t="str">
        <f ca="1">IFERROR(__xludf.DUMMYFUNCTION("""COMPUTED_VALUE"""),"SCHERRER")</f>
        <v>SCHERRER</v>
      </c>
      <c r="D302" s="48" t="str">
        <f ca="1">IFERROR(__xludf.DUMMYFUNCTION("""COMPUTED_VALUE"""),"Vincent")</f>
        <v>Vincent</v>
      </c>
      <c r="E302" s="49" t="str">
        <f ca="1">IFERROR(__xludf.DUMMYFUNCTION("""COMPUTED_VALUE"""),"06540115")</f>
        <v>06540115</v>
      </c>
      <c r="F302" s="48" t="str">
        <f ca="1">IFERROR(__xludf.DUMMYFUNCTION("""COMPUTED_VALUE"""),"HERIMENIL T.T.")</f>
        <v>HERIMENIL T.T.</v>
      </c>
      <c r="G302" s="50" t="str">
        <f ca="1">IFERROR(__xludf.DUMMYFUNCTION("""COMPUTED_VALUE"""),"CD54")</f>
        <v>CD54</v>
      </c>
      <c r="H302" s="50" t="str">
        <f ca="1">IFERROR(__xludf.DUMMYFUNCTION("""COMPUTED_VALUE"""),"actif")</f>
        <v>actif</v>
      </c>
    </row>
    <row r="303" spans="1:8" ht="12.75">
      <c r="A303" s="46">
        <f ca="1">IFERROR(__xludf.DUMMYFUNCTION("""COMPUTED_VALUE"""),291)</f>
        <v>291</v>
      </c>
      <c r="B303" s="47" t="str">
        <f ca="1">IFERROR(__xludf.DUMMYFUNCTION("""COMPUTED_VALUE"""),"5435965")</f>
        <v>5435965</v>
      </c>
      <c r="C303" s="48" t="str">
        <f ca="1">IFERROR(__xludf.DUMMYFUNCTION("""COMPUTED_VALUE"""),"SCHMID")</f>
        <v>SCHMID</v>
      </c>
      <c r="D303" s="48" t="str">
        <f ca="1">IFERROR(__xludf.DUMMYFUNCTION("""COMPUTED_VALUE"""),"Théo")</f>
        <v>Théo</v>
      </c>
      <c r="E303" s="49" t="str">
        <f ca="1">IFERROR(__xludf.DUMMYFUNCTION("""COMPUTED_VALUE"""),"06540010")</f>
        <v>06540010</v>
      </c>
      <c r="F303" s="48" t="str">
        <f ca="1">IFERROR(__xludf.DUMMYFUNCTION("""COMPUTED_VALUE"""),"FOUG C.P.")</f>
        <v>FOUG C.P.</v>
      </c>
      <c r="G303" s="50" t="str">
        <f ca="1">IFERROR(__xludf.DUMMYFUNCTION("""COMPUTED_VALUE"""),"CD54")</f>
        <v>CD54</v>
      </c>
      <c r="H303" s="50" t="str">
        <f ca="1">IFERROR(__xludf.DUMMYFUNCTION("""COMPUTED_VALUE"""),"actif")</f>
        <v>actif</v>
      </c>
    </row>
    <row r="304" spans="1:8" ht="12.75">
      <c r="A304" s="46">
        <f ca="1">IFERROR(__xludf.DUMMYFUNCTION("""COMPUTED_VALUE"""),292)</f>
        <v>292</v>
      </c>
      <c r="B304" s="47" t="str">
        <f ca="1">IFERROR(__xludf.DUMMYFUNCTION("""COMPUTED_VALUE"""),"685077")</f>
        <v>685077</v>
      </c>
      <c r="C304" s="48" t="str">
        <f ca="1">IFERROR(__xludf.DUMMYFUNCTION("""COMPUTED_VALUE"""),"SCHNEIDER")</f>
        <v>SCHNEIDER</v>
      </c>
      <c r="D304" s="48" t="str">
        <f ca="1">IFERROR(__xludf.DUMMYFUNCTION("""COMPUTED_VALUE"""),"Pierre")</f>
        <v>Pierre</v>
      </c>
      <c r="E304" s="49" t="str">
        <f ca="1">IFERROR(__xludf.DUMMYFUNCTION("""COMPUTED_VALUE"""),"06680091")</f>
        <v>06680091</v>
      </c>
      <c r="F304" s="48" t="str">
        <f ca="1">IFERROR(__xludf.DUMMYFUNCTION("""COMPUTED_VALUE"""),"ILLZACH TTSJB")</f>
        <v>ILLZACH TTSJB</v>
      </c>
      <c r="G304" s="50" t="str">
        <f ca="1">IFERROR(__xludf.DUMMYFUNCTION("""COMPUTED_VALUE"""),"CD68")</f>
        <v>CD68</v>
      </c>
      <c r="H304" s="50" t="str">
        <f ca="1">IFERROR(__xludf.DUMMYFUNCTION("""COMPUTED_VALUE"""),"actif")</f>
        <v>actif</v>
      </c>
    </row>
    <row r="305" spans="1:8" ht="12.75">
      <c r="A305" s="46">
        <f ca="1">IFERROR(__xludf.DUMMYFUNCTION("""COMPUTED_VALUE"""),293)</f>
        <v>293</v>
      </c>
      <c r="B305" s="47" t="str">
        <f ca="1">IFERROR(__xludf.DUMMYFUNCTION("""COMPUTED_VALUE"""),"6720059")</f>
        <v>6720059</v>
      </c>
      <c r="C305" s="48" t="str">
        <f ca="1">IFERROR(__xludf.DUMMYFUNCTION("""COMPUTED_VALUE"""),"SCHWEYER")</f>
        <v>SCHWEYER</v>
      </c>
      <c r="D305" s="48" t="str">
        <f ca="1">IFERROR(__xludf.DUMMYFUNCTION("""COMPUTED_VALUE"""),"Pascale")</f>
        <v>Pascale</v>
      </c>
      <c r="E305" s="49" t="str">
        <f ca="1">IFERROR(__xludf.DUMMYFUNCTION("""COMPUTED_VALUE"""),"06670002")</f>
        <v>06670002</v>
      </c>
      <c r="F305" s="48" t="str">
        <f ca="1">IFERROR(__xludf.DUMMYFUNCTION("""COMPUTED_VALUE"""),"STRASBOURG ST JEAN CS 1852")</f>
        <v>STRASBOURG ST JEAN CS 1852</v>
      </c>
      <c r="G305" s="50" t="str">
        <f ca="1">IFERROR(__xludf.DUMMYFUNCTION("""COMPUTED_VALUE"""),"CD67")</f>
        <v>CD67</v>
      </c>
      <c r="H305" s="50" t="str">
        <f ca="1">IFERROR(__xludf.DUMMYFUNCTION("""COMPUTED_VALUE"""),"actif")</f>
        <v>actif</v>
      </c>
    </row>
    <row r="306" spans="1:8" ht="12.75">
      <c r="A306" s="46">
        <f ca="1">IFERROR(__xludf.DUMMYFUNCTION("""COMPUTED_VALUE"""),294)</f>
        <v>294</v>
      </c>
      <c r="B306" s="47" t="str">
        <f ca="1">IFERROR(__xludf.DUMMYFUNCTION("""COMPUTED_VALUE"""),"6813110")</f>
        <v>6813110</v>
      </c>
      <c r="C306" s="48" t="str">
        <f ca="1">IFERROR(__xludf.DUMMYFUNCTION("""COMPUTED_VALUE"""),"SEEWALD")</f>
        <v>SEEWALD</v>
      </c>
      <c r="D306" s="48" t="str">
        <f ca="1">IFERROR(__xludf.DUMMYFUNCTION("""COMPUTED_VALUE"""),"Luc")</f>
        <v>Luc</v>
      </c>
      <c r="E306" s="49" t="str">
        <f ca="1">IFERROR(__xludf.DUMMYFUNCTION("""COMPUTED_VALUE"""),"06680125")</f>
        <v>06680125</v>
      </c>
      <c r="F306" s="48" t="str">
        <f ca="1">IFERROR(__xludf.DUMMYFUNCTION("""COMPUTED_VALUE"""),"ROSENAU TT")</f>
        <v>ROSENAU TT</v>
      </c>
      <c r="G306" s="50" t="str">
        <f ca="1">IFERROR(__xludf.DUMMYFUNCTION("""COMPUTED_VALUE"""),"CD68")</f>
        <v>CD68</v>
      </c>
      <c r="H306" s="50" t="str">
        <f ca="1">IFERROR(__xludf.DUMMYFUNCTION("""COMPUTED_VALUE"""),"actif")</f>
        <v>actif</v>
      </c>
    </row>
    <row r="307" spans="1:8" ht="12.75">
      <c r="A307" s="46">
        <f ca="1">IFERROR(__xludf.DUMMYFUNCTION("""COMPUTED_VALUE"""),295)</f>
        <v>295</v>
      </c>
      <c r="B307" s="47" t="str">
        <f ca="1">IFERROR(__xludf.DUMMYFUNCTION("""COMPUTED_VALUE"""),"558702")</f>
        <v>558702</v>
      </c>
      <c r="C307" s="48" t="str">
        <f ca="1">IFERROR(__xludf.DUMMYFUNCTION("""COMPUTED_VALUE"""),"SEMINATI")</f>
        <v>SEMINATI</v>
      </c>
      <c r="D307" s="48" t="str">
        <f ca="1">IFERROR(__xludf.DUMMYFUNCTION("""COMPUTED_VALUE"""),"Luc")</f>
        <v>Luc</v>
      </c>
      <c r="E307" s="49" t="str">
        <f ca="1">IFERROR(__xludf.DUMMYFUNCTION("""COMPUTED_VALUE"""),"06550005")</f>
        <v>06550005</v>
      </c>
      <c r="F307" s="48" t="str">
        <f ca="1">IFERROR(__xludf.DUMMYFUNCTION("""COMPUTED_VALUE"""),"SAINT MIHIEL P.P.C.")</f>
        <v>SAINT MIHIEL P.P.C.</v>
      </c>
      <c r="G307" s="50" t="str">
        <f ca="1">IFERROR(__xludf.DUMMYFUNCTION("""COMPUTED_VALUE"""),"CD55")</f>
        <v>CD55</v>
      </c>
      <c r="H307" s="50" t="str">
        <f ca="1">IFERROR(__xludf.DUMMYFUNCTION("""COMPUTED_VALUE"""),"actif")</f>
        <v>actif</v>
      </c>
    </row>
    <row r="308" spans="1:8" ht="12.75">
      <c r="A308" s="46">
        <f ca="1">IFERROR(__xludf.DUMMYFUNCTION("""COMPUTED_VALUE"""),296)</f>
        <v>296</v>
      </c>
      <c r="B308" s="47" t="str">
        <f ca="1">IFERROR(__xludf.DUMMYFUNCTION("""COMPUTED_VALUE"""),"67429")</f>
        <v>67429</v>
      </c>
      <c r="C308" s="48" t="str">
        <f ca="1">IFERROR(__xludf.DUMMYFUNCTION("""COMPUTED_VALUE"""),"SILBERMANN")</f>
        <v>SILBERMANN</v>
      </c>
      <c r="D308" s="48" t="str">
        <f ca="1">IFERROR(__xludf.DUMMYFUNCTION("""COMPUTED_VALUE"""),"Sylvain")</f>
        <v>Sylvain</v>
      </c>
      <c r="E308" s="49" t="str">
        <f ca="1">IFERROR(__xludf.DUMMYFUNCTION("""COMPUTED_VALUE"""),"06670027")</f>
        <v>06670027</v>
      </c>
      <c r="F308" s="48" t="str">
        <f ca="1">IFERROR(__xludf.DUMMYFUNCTION("""COMPUTED_VALUE"""),"ROSHEIM CA")</f>
        <v>ROSHEIM CA</v>
      </c>
      <c r="G308" s="50" t="str">
        <f ca="1">IFERROR(__xludf.DUMMYFUNCTION("""COMPUTED_VALUE"""),"CD67")</f>
        <v>CD67</v>
      </c>
      <c r="H308" s="50" t="str">
        <f ca="1">IFERROR(__xludf.DUMMYFUNCTION("""COMPUTED_VALUE"""),"actif")</f>
        <v>actif</v>
      </c>
    </row>
    <row r="309" spans="1:8" ht="12.75">
      <c r="A309" s="46">
        <f ca="1">IFERROR(__xludf.DUMMYFUNCTION("""COMPUTED_VALUE"""),297)</f>
        <v>297</v>
      </c>
      <c r="B309" s="47" t="str">
        <f ca="1">IFERROR(__xludf.DUMMYFUNCTION("""COMPUTED_VALUE"""),"088565")</f>
        <v>088565</v>
      </c>
      <c r="C309" s="48" t="str">
        <f ca="1">IFERROR(__xludf.DUMMYFUNCTION("""COMPUTED_VALUE"""),"SIMON")</f>
        <v>SIMON</v>
      </c>
      <c r="D309" s="48" t="str">
        <f ca="1">IFERROR(__xludf.DUMMYFUNCTION("""COMPUTED_VALUE"""),"Gatien")</f>
        <v>Gatien</v>
      </c>
      <c r="E309" s="49" t="str">
        <f ca="1">IFERROR(__xludf.DUMMYFUNCTION("""COMPUTED_VALUE"""),"06080035")</f>
        <v>06080035</v>
      </c>
      <c r="F309" s="48" t="str">
        <f ca="1">IFERROR(__xludf.DUMMYFUNCTION("""COMPUTED_VALUE"""),"CHARLEVILLE MEZIERES ARDENNES TT")</f>
        <v>CHARLEVILLE MEZIERES ARDENNES TT</v>
      </c>
      <c r="G309" s="50" t="str">
        <f ca="1">IFERROR(__xludf.DUMMYFUNCTION("""COMPUTED_VALUE"""),"CD08")</f>
        <v>CD08</v>
      </c>
      <c r="H309" s="50" t="str">
        <f ca="1">IFERROR(__xludf.DUMMYFUNCTION("""COMPUTED_VALUE"""),"actif")</f>
        <v>actif</v>
      </c>
    </row>
    <row r="310" spans="1:8" ht="12.75">
      <c r="A310" s="46">
        <f ca="1">IFERROR(__xludf.DUMMYFUNCTION("""COMPUTED_VALUE"""),298)</f>
        <v>298</v>
      </c>
      <c r="B310" s="47" t="str">
        <f ca="1">IFERROR(__xludf.DUMMYFUNCTION("""COMPUTED_VALUE"""),"5415763")</f>
        <v>5415763</v>
      </c>
      <c r="C310" s="48" t="str">
        <f ca="1">IFERROR(__xludf.DUMMYFUNCTION("""COMPUTED_VALUE"""),"SIMON")</f>
        <v>SIMON</v>
      </c>
      <c r="D310" s="48" t="str">
        <f ca="1">IFERROR(__xludf.DUMMYFUNCTION("""COMPUTED_VALUE"""),"Dominique")</f>
        <v>Dominique</v>
      </c>
      <c r="E310" s="49" t="str">
        <f ca="1">IFERROR(__xludf.DUMMYFUNCTION("""COMPUTED_VALUE"""),"06540040")</f>
        <v>06540040</v>
      </c>
      <c r="F310" s="48" t="str">
        <f ca="1">IFERROR(__xludf.DUMMYFUNCTION("""COMPUTED_VALUE"""),"VILLERS LES NANCY C.O.S.")</f>
        <v>VILLERS LES NANCY C.O.S.</v>
      </c>
      <c r="G310" s="50" t="str">
        <f ca="1">IFERROR(__xludf.DUMMYFUNCTION("""COMPUTED_VALUE"""),"CD54")</f>
        <v>CD54</v>
      </c>
      <c r="H310" s="50" t="str">
        <f ca="1">IFERROR(__xludf.DUMMYFUNCTION("""COMPUTED_VALUE"""),"actif")</f>
        <v>actif</v>
      </c>
    </row>
    <row r="311" spans="1:8" ht="12.75">
      <c r="A311" s="46">
        <f ca="1">IFERROR(__xludf.DUMMYFUNCTION("""COMPUTED_VALUE"""),299)</f>
        <v>299</v>
      </c>
      <c r="B311" s="47" t="str">
        <f ca="1">IFERROR(__xludf.DUMMYFUNCTION("""COMPUTED_VALUE"""),"5736445")</f>
        <v>5736445</v>
      </c>
      <c r="C311" s="48" t="str">
        <f ca="1">IFERROR(__xludf.DUMMYFUNCTION("""COMPUTED_VALUE"""),"SIMON")</f>
        <v>SIMON</v>
      </c>
      <c r="D311" s="48" t="str">
        <f ca="1">IFERROR(__xludf.DUMMYFUNCTION("""COMPUTED_VALUE"""),"Mathias")</f>
        <v>Mathias</v>
      </c>
      <c r="E311" s="49" t="str">
        <f ca="1">IFERROR(__xludf.DUMMYFUNCTION("""COMPUTED_VALUE"""),"06570073")</f>
        <v>06570073</v>
      </c>
      <c r="F311" s="48" t="str">
        <f ca="1">IFERROR(__xludf.DUMMYFUNCTION("""COMPUTED_VALUE"""),"TERVILLE Tennis de Table")</f>
        <v>TERVILLE Tennis de Table</v>
      </c>
      <c r="G311" s="50" t="str">
        <f ca="1">IFERROR(__xludf.DUMMYFUNCTION("""COMPUTED_VALUE"""),"CD57")</f>
        <v>CD57</v>
      </c>
      <c r="H311" s="50" t="str">
        <f ca="1">IFERROR(__xludf.DUMMYFUNCTION("""COMPUTED_VALUE"""),"actif")</f>
        <v>actif</v>
      </c>
    </row>
    <row r="312" spans="1:8" ht="12.75">
      <c r="A312" s="46">
        <f ca="1">IFERROR(__xludf.DUMMYFUNCTION("""COMPUTED_VALUE"""),300)</f>
        <v>300</v>
      </c>
      <c r="B312" s="47" t="str">
        <f ca="1">IFERROR(__xludf.DUMMYFUNCTION("""COMPUTED_VALUE"""),"8817573")</f>
        <v>8817573</v>
      </c>
      <c r="C312" s="48" t="str">
        <f ca="1">IFERROR(__xludf.DUMMYFUNCTION("""COMPUTED_VALUE"""),"SIMON")</f>
        <v>SIMON</v>
      </c>
      <c r="D312" s="48" t="str">
        <f ca="1">IFERROR(__xludf.DUMMYFUNCTION("""COMPUTED_VALUE"""),"Camille")</f>
        <v>Camille</v>
      </c>
      <c r="E312" s="49" t="str">
        <f ca="1">IFERROR(__xludf.DUMMYFUNCTION("""COMPUTED_VALUE"""),"06880145")</f>
        <v>06880145</v>
      </c>
      <c r="F312" s="48" t="str">
        <f ca="1">IFERROR(__xludf.DUMMYFUNCTION("""COMPUTED_VALUE"""),"THAON CHENIMENIL E.S.T.T.")</f>
        <v>THAON CHENIMENIL E.S.T.T.</v>
      </c>
      <c r="G312" s="50" t="str">
        <f ca="1">IFERROR(__xludf.DUMMYFUNCTION("""COMPUTED_VALUE"""),"CD88")</f>
        <v>CD88</v>
      </c>
      <c r="H312" s="50" t="str">
        <f ca="1">IFERROR(__xludf.DUMMYFUNCTION("""COMPUTED_VALUE"""),"actif")</f>
        <v>actif</v>
      </c>
    </row>
    <row r="313" spans="1:8" ht="12.75">
      <c r="A313" s="46">
        <f ca="1">IFERROR(__xludf.DUMMYFUNCTION("""COMPUTED_VALUE"""),301)</f>
        <v>301</v>
      </c>
      <c r="B313" s="47" t="str">
        <f ca="1">IFERROR(__xludf.DUMMYFUNCTION("""COMPUTED_VALUE"""),"5417064")</f>
        <v>5417064</v>
      </c>
      <c r="C313" s="48" t="str">
        <f ca="1">IFERROR(__xludf.DUMMYFUNCTION("""COMPUTED_VALUE"""),"SIRET")</f>
        <v>SIRET</v>
      </c>
      <c r="D313" s="48" t="str">
        <f ca="1">IFERROR(__xludf.DUMMYFUNCTION("""COMPUTED_VALUE"""),"Gilles")</f>
        <v>Gilles</v>
      </c>
      <c r="E313" s="49" t="str">
        <f ca="1">IFERROR(__xludf.DUMMYFUNCTION("""COMPUTED_VALUE"""),"06540198")</f>
        <v>06540198</v>
      </c>
      <c r="F313" s="48" t="str">
        <f ca="1">IFERROR(__xludf.DUMMYFUNCTION("""COMPUTED_VALUE"""),"VANDOEUVRE ASTT")</f>
        <v>VANDOEUVRE ASTT</v>
      </c>
      <c r="G313" s="50" t="str">
        <f ca="1">IFERROR(__xludf.DUMMYFUNCTION("""COMPUTED_VALUE"""),"CD54")</f>
        <v>CD54</v>
      </c>
      <c r="H313" s="50" t="str">
        <f ca="1">IFERROR(__xludf.DUMMYFUNCTION("""COMPUTED_VALUE"""),"actif")</f>
        <v>actif</v>
      </c>
    </row>
    <row r="314" spans="1:8" ht="12.75">
      <c r="A314" s="46">
        <f ca="1">IFERROR(__xludf.DUMMYFUNCTION("""COMPUTED_VALUE"""),302)</f>
        <v>302</v>
      </c>
      <c r="B314" s="47" t="str">
        <f ca="1">IFERROR(__xludf.DUMMYFUNCTION("""COMPUTED_VALUE"""),"5433071")</f>
        <v>5433071</v>
      </c>
      <c r="C314" s="48" t="str">
        <f ca="1">IFERROR(__xludf.DUMMYFUNCTION("""COMPUTED_VALUE"""),"SOLDNER")</f>
        <v>SOLDNER</v>
      </c>
      <c r="D314" s="48" t="str">
        <f ca="1">IFERROR(__xludf.DUMMYFUNCTION("""COMPUTED_VALUE"""),"Bruno")</f>
        <v>Bruno</v>
      </c>
      <c r="E314" s="49" t="str">
        <f ca="1">IFERROR(__xludf.DUMMYFUNCTION("""COMPUTED_VALUE"""),"06540021")</f>
        <v>06540021</v>
      </c>
      <c r="F314" s="48" t="str">
        <f ca="1">IFERROR(__xludf.DUMMYFUNCTION("""COMPUTED_VALUE"""),"LUNEVILLE A.L.T.T.")</f>
        <v>LUNEVILLE A.L.T.T.</v>
      </c>
      <c r="G314" s="50" t="str">
        <f ca="1">IFERROR(__xludf.DUMMYFUNCTION("""COMPUTED_VALUE"""),"CD54")</f>
        <v>CD54</v>
      </c>
      <c r="H314" s="50" t="str">
        <f ca="1">IFERROR(__xludf.DUMMYFUNCTION("""COMPUTED_VALUE"""),"actif")</f>
        <v>actif</v>
      </c>
    </row>
    <row r="315" spans="1:8" ht="12.75">
      <c r="A315" s="46">
        <f ca="1">IFERROR(__xludf.DUMMYFUNCTION("""COMPUTED_VALUE"""),303)</f>
        <v>303</v>
      </c>
      <c r="B315" s="47" t="str">
        <f ca="1">IFERROR(__xludf.DUMMYFUNCTION("""COMPUTED_VALUE"""),"8816286")</f>
        <v>8816286</v>
      </c>
      <c r="C315" s="48" t="str">
        <f ca="1">IFERROR(__xludf.DUMMYFUNCTION("""COMPUTED_VALUE"""),"SONNEFRAUD")</f>
        <v>SONNEFRAUD</v>
      </c>
      <c r="D315" s="48" t="str">
        <f ca="1">IFERROR(__xludf.DUMMYFUNCTION("""COMPUTED_VALUE"""),"Meline")</f>
        <v>Meline</v>
      </c>
      <c r="E315" s="49" t="str">
        <f ca="1">IFERROR(__xludf.DUMMYFUNCTION("""COMPUTED_VALUE"""),"06880010")</f>
        <v>06880010</v>
      </c>
      <c r="F315" s="48" t="str">
        <f ca="1">IFERROR(__xludf.DUMMYFUNCTION("""COMPUTED_VALUE"""),"SAINT DIE SRDTT")</f>
        <v>SAINT DIE SRDTT</v>
      </c>
      <c r="G315" s="50" t="str">
        <f ca="1">IFERROR(__xludf.DUMMYFUNCTION("""COMPUTED_VALUE"""),"CD88")</f>
        <v>CD88</v>
      </c>
      <c r="H315" s="50" t="str">
        <f ca="1">IFERROR(__xludf.DUMMYFUNCTION("""COMPUTED_VALUE"""),"actif")</f>
        <v>actif</v>
      </c>
    </row>
    <row r="316" spans="1:8" ht="12.75">
      <c r="A316" s="46">
        <f ca="1">IFERROR(__xludf.DUMMYFUNCTION("""COMPUTED_VALUE"""),304)</f>
        <v>304</v>
      </c>
      <c r="B316" s="47" t="str">
        <f ca="1">IFERROR(__xludf.DUMMYFUNCTION("""COMPUTED_VALUE"""),"8815380")</f>
        <v>8815380</v>
      </c>
      <c r="C316" s="48" t="str">
        <f ca="1">IFERROR(__xludf.DUMMYFUNCTION("""COMPUTED_VALUE"""),"SONNEFRAUD")</f>
        <v>SONNEFRAUD</v>
      </c>
      <c r="D316" s="48" t="str">
        <f ca="1">IFERROR(__xludf.DUMMYFUNCTION("""COMPUTED_VALUE"""),"Mathis")</f>
        <v>Mathis</v>
      </c>
      <c r="E316" s="49" t="str">
        <f ca="1">IFERROR(__xludf.DUMMYFUNCTION("""COMPUTED_VALUE"""),"06880010")</f>
        <v>06880010</v>
      </c>
      <c r="F316" s="48" t="str">
        <f ca="1">IFERROR(__xludf.DUMMYFUNCTION("""COMPUTED_VALUE"""),"SAINT DIE SRDTT")</f>
        <v>SAINT DIE SRDTT</v>
      </c>
      <c r="G316" s="50" t="str">
        <f ca="1">IFERROR(__xludf.DUMMYFUNCTION("""COMPUTED_VALUE"""),"CD88")</f>
        <v>CD88</v>
      </c>
      <c r="H316" s="50" t="str">
        <f ca="1">IFERROR(__xludf.DUMMYFUNCTION("""COMPUTED_VALUE"""),"actif")</f>
        <v>actif</v>
      </c>
    </row>
    <row r="317" spans="1:8" ht="12.75">
      <c r="A317" s="46">
        <f ca="1">IFERROR(__xludf.DUMMYFUNCTION("""COMPUTED_VALUE"""),305)</f>
        <v>305</v>
      </c>
      <c r="B317" s="47" t="str">
        <f ca="1">IFERROR(__xludf.DUMMYFUNCTION("""COMPUTED_VALUE"""),"54569")</f>
        <v>54569</v>
      </c>
      <c r="C317" s="48" t="str">
        <f ca="1">IFERROR(__xludf.DUMMYFUNCTION("""COMPUTED_VALUE"""),"SPELLEMAEKER")</f>
        <v>SPELLEMAEKER</v>
      </c>
      <c r="D317" s="48" t="str">
        <f ca="1">IFERROR(__xludf.DUMMYFUNCTION("""COMPUTED_VALUE"""),"Pierre")</f>
        <v>Pierre</v>
      </c>
      <c r="E317" s="49" t="str">
        <f ca="1">IFERROR(__xludf.DUMMYFUNCTION("""COMPUTED_VALUE"""),"06540021")</f>
        <v>06540021</v>
      </c>
      <c r="F317" s="48" t="str">
        <f ca="1">IFERROR(__xludf.DUMMYFUNCTION("""COMPUTED_VALUE"""),"LUNEVILLE A.L.T.T.")</f>
        <v>LUNEVILLE A.L.T.T.</v>
      </c>
      <c r="G317" s="50" t="str">
        <f ca="1">IFERROR(__xludf.DUMMYFUNCTION("""COMPUTED_VALUE"""),"CD54")</f>
        <v>CD54</v>
      </c>
      <c r="H317" s="50" t="str">
        <f ca="1">IFERROR(__xludf.DUMMYFUNCTION("""COMPUTED_VALUE"""),"actif")</f>
        <v>actif</v>
      </c>
    </row>
    <row r="318" spans="1:8" ht="12.75">
      <c r="A318" s="46">
        <f ca="1">IFERROR(__xludf.DUMMYFUNCTION("""COMPUTED_VALUE"""),306)</f>
        <v>306</v>
      </c>
      <c r="B318" s="47" t="str">
        <f ca="1">IFERROR(__xludf.DUMMYFUNCTION("""COMPUTED_VALUE"""),"8813858")</f>
        <v>8813858</v>
      </c>
      <c r="C318" s="48" t="str">
        <f ca="1">IFERROR(__xludf.DUMMYFUNCTION("""COMPUTED_VALUE"""),"STEYER")</f>
        <v>STEYER</v>
      </c>
      <c r="D318" s="48" t="str">
        <f ca="1">IFERROR(__xludf.DUMMYFUNCTION("""COMPUTED_VALUE"""),"Gauthier")</f>
        <v>Gauthier</v>
      </c>
      <c r="E318" s="49" t="str">
        <f ca="1">IFERROR(__xludf.DUMMYFUNCTION("""COMPUTED_VALUE"""),"06880123")</f>
        <v>06880123</v>
      </c>
      <c r="F318" s="48" t="str">
        <f ca="1">IFERROR(__xludf.DUMMYFUNCTION("""COMPUTED_VALUE"""),"ETIVAL ASRTT")</f>
        <v>ETIVAL ASRTT</v>
      </c>
      <c r="G318" s="50" t="str">
        <f ca="1">IFERROR(__xludf.DUMMYFUNCTION("""COMPUTED_VALUE"""),"CD88")</f>
        <v>CD88</v>
      </c>
      <c r="H318" s="50" t="str">
        <f ca="1">IFERROR(__xludf.DUMMYFUNCTION("""COMPUTED_VALUE"""),"actif")</f>
        <v>actif</v>
      </c>
    </row>
    <row r="319" spans="1:8" ht="12.75">
      <c r="A319" s="46">
        <f ca="1">IFERROR(__xludf.DUMMYFUNCTION("""COMPUTED_VALUE"""),307)</f>
        <v>307</v>
      </c>
      <c r="B319" s="47" t="str">
        <f ca="1">IFERROR(__xludf.DUMMYFUNCTION("""COMPUTED_VALUE"""),"5419496")</f>
        <v>5419496</v>
      </c>
      <c r="C319" s="48" t="str">
        <f ca="1">IFERROR(__xludf.DUMMYFUNCTION("""COMPUTED_VALUE"""),"SUCK")</f>
        <v>SUCK</v>
      </c>
      <c r="D319" s="48" t="str">
        <f ca="1">IFERROR(__xludf.DUMMYFUNCTION("""COMPUTED_VALUE"""),"Hugo")</f>
        <v>Hugo</v>
      </c>
      <c r="E319" s="49" t="str">
        <f ca="1">IFERROR(__xludf.DUMMYFUNCTION("""COMPUTED_VALUE"""),"06670045")</f>
        <v>06670045</v>
      </c>
      <c r="F319" s="48" t="str">
        <f ca="1">IFERROR(__xludf.DUMMYFUNCTION("""COMPUTED_VALUE"""),"STRASBOURG RC")</f>
        <v>STRASBOURG RC</v>
      </c>
      <c r="G319" s="50" t="str">
        <f ca="1">IFERROR(__xludf.DUMMYFUNCTION("""COMPUTED_VALUE"""),"CD67")</f>
        <v>CD67</v>
      </c>
      <c r="H319" s="50" t="str">
        <f ca="1">IFERROR(__xludf.DUMMYFUNCTION("""COMPUTED_VALUE"""),"actif")</f>
        <v>actif</v>
      </c>
    </row>
    <row r="320" spans="1:8" ht="12.75">
      <c r="A320" s="46">
        <f ca="1">IFERROR(__xludf.DUMMYFUNCTION("""COMPUTED_VALUE"""),308)</f>
        <v>308</v>
      </c>
      <c r="B320" s="47" t="str">
        <f ca="1">IFERROR(__xludf.DUMMYFUNCTION("""COMPUTED_VALUE"""),"8820697")</f>
        <v>8820697</v>
      </c>
      <c r="C320" s="48" t="str">
        <f ca="1">IFERROR(__xludf.DUMMYFUNCTION("""COMPUTED_VALUE"""),"TESSIER")</f>
        <v>TESSIER</v>
      </c>
      <c r="D320" s="48" t="str">
        <f ca="1">IFERROR(__xludf.DUMMYFUNCTION("""COMPUTED_VALUE"""),"Loan")</f>
        <v>Loan</v>
      </c>
      <c r="E320" s="49" t="str">
        <f ca="1">IFERROR(__xludf.DUMMYFUNCTION("""COMPUTED_VALUE"""),"06880010")</f>
        <v>06880010</v>
      </c>
      <c r="F320" s="48" t="str">
        <f ca="1">IFERROR(__xludf.DUMMYFUNCTION("""COMPUTED_VALUE"""),"SAINT DIE SRDTT")</f>
        <v>SAINT DIE SRDTT</v>
      </c>
      <c r="G320" s="50" t="str">
        <f ca="1">IFERROR(__xludf.DUMMYFUNCTION("""COMPUTED_VALUE"""),"CD88")</f>
        <v>CD88</v>
      </c>
      <c r="H320" s="50" t="str">
        <f ca="1">IFERROR(__xludf.DUMMYFUNCTION("""COMPUTED_VALUE"""),"actif")</f>
        <v>actif</v>
      </c>
    </row>
    <row r="321" spans="1:8" ht="12.75">
      <c r="A321" s="46">
        <f ca="1">IFERROR(__xludf.DUMMYFUNCTION("""COMPUTED_VALUE"""),309)</f>
        <v>309</v>
      </c>
      <c r="B321" s="47" t="str">
        <f ca="1">IFERROR(__xludf.DUMMYFUNCTION("""COMPUTED_VALUE"""),"8812194")</f>
        <v>8812194</v>
      </c>
      <c r="C321" s="48" t="str">
        <f ca="1">IFERROR(__xludf.DUMMYFUNCTION("""COMPUTED_VALUE"""),"THEVENIN")</f>
        <v>THEVENIN</v>
      </c>
      <c r="D321" s="48" t="str">
        <f ca="1">IFERROR(__xludf.DUMMYFUNCTION("""COMPUTED_VALUE"""),"Thibault")</f>
        <v>Thibault</v>
      </c>
      <c r="E321" s="49" t="str">
        <f ca="1">IFERROR(__xludf.DUMMYFUNCTION("""COMPUTED_VALUE"""),"06880022")</f>
        <v>06880022</v>
      </c>
      <c r="F321" s="48" t="str">
        <f ca="1">IFERROR(__xludf.DUMMYFUNCTION("""COMPUTED_VALUE"""),"VITTEL SAINT REMY TT")</f>
        <v>VITTEL SAINT REMY TT</v>
      </c>
      <c r="G321" s="50" t="str">
        <f ca="1">IFERROR(__xludf.DUMMYFUNCTION("""COMPUTED_VALUE"""),"CD88")</f>
        <v>CD88</v>
      </c>
      <c r="H321" s="50" t="str">
        <f ca="1">IFERROR(__xludf.DUMMYFUNCTION("""COMPUTED_VALUE"""),"actif")</f>
        <v>actif</v>
      </c>
    </row>
    <row r="322" spans="1:8" ht="12.75">
      <c r="A322" s="46">
        <f ca="1">IFERROR(__xludf.DUMMYFUNCTION("""COMPUTED_VALUE"""),310)</f>
        <v>310</v>
      </c>
      <c r="B322" s="47" t="str">
        <f ca="1">IFERROR(__xludf.DUMMYFUNCTION("""COMPUTED_VALUE"""),"5711950")</f>
        <v>5711950</v>
      </c>
      <c r="C322" s="48" t="str">
        <f ca="1">IFERROR(__xludf.DUMMYFUNCTION("""COMPUTED_VALUE"""),"THOMAS")</f>
        <v>THOMAS</v>
      </c>
      <c r="D322" s="48" t="str">
        <f ca="1">IFERROR(__xludf.DUMMYFUNCTION("""COMPUTED_VALUE"""),"Arsene")</f>
        <v>Arsene</v>
      </c>
      <c r="E322" s="49" t="str">
        <f ca="1">IFERROR(__xludf.DUMMYFUNCTION("""COMPUTED_VALUE"""),"06570111")</f>
        <v>06570111</v>
      </c>
      <c r="F322" s="48" t="str">
        <f ca="1">IFERROR(__xludf.DUMMYFUNCTION("""COMPUTED_VALUE"""),"SARREBOURG TT")</f>
        <v>SARREBOURG TT</v>
      </c>
      <c r="G322" s="50" t="str">
        <f ca="1">IFERROR(__xludf.DUMMYFUNCTION("""COMPUTED_VALUE"""),"CD57")</f>
        <v>CD57</v>
      </c>
      <c r="H322" s="50" t="str">
        <f ca="1">IFERROR(__xludf.DUMMYFUNCTION("""COMPUTED_VALUE"""),"actif")</f>
        <v>actif</v>
      </c>
    </row>
    <row r="323" spans="1:8" ht="12.75">
      <c r="A323" s="46">
        <f ca="1">IFERROR(__xludf.DUMMYFUNCTION("""COMPUTED_VALUE"""),311)</f>
        <v>311</v>
      </c>
      <c r="B323" s="47" t="str">
        <f ca="1">IFERROR(__xludf.DUMMYFUNCTION("""COMPUTED_VALUE"""),"0814780")</f>
        <v>0814780</v>
      </c>
      <c r="C323" s="48" t="str">
        <f ca="1">IFERROR(__xludf.DUMMYFUNCTION("""COMPUTED_VALUE"""),"THOUE")</f>
        <v>THOUE</v>
      </c>
      <c r="D323" s="48" t="str">
        <f ca="1">IFERROR(__xludf.DUMMYFUNCTION("""COMPUTED_VALUE"""),"Aaron")</f>
        <v>Aaron</v>
      </c>
      <c r="E323" s="49" t="str">
        <f ca="1">IFERROR(__xludf.DUMMYFUNCTION("""COMPUTED_VALUE"""),"06080035")</f>
        <v>06080035</v>
      </c>
      <c r="F323" s="48" t="str">
        <f ca="1">IFERROR(__xludf.DUMMYFUNCTION("""COMPUTED_VALUE"""),"CHARLEVILLE MEZIERES ARDENNES TT")</f>
        <v>CHARLEVILLE MEZIERES ARDENNES TT</v>
      </c>
      <c r="G323" s="50" t="str">
        <f ca="1">IFERROR(__xludf.DUMMYFUNCTION("""COMPUTED_VALUE"""),"CD08")</f>
        <v>CD08</v>
      </c>
      <c r="H323" s="50" t="str">
        <f ca="1">IFERROR(__xludf.DUMMYFUNCTION("""COMPUTED_VALUE"""),"actif")</f>
        <v>actif</v>
      </c>
    </row>
    <row r="324" spans="1:8" ht="12.75">
      <c r="A324" s="46">
        <f ca="1">IFERROR(__xludf.DUMMYFUNCTION("""COMPUTED_VALUE"""),312)</f>
        <v>312</v>
      </c>
      <c r="B324" s="47" t="str">
        <f ca="1">IFERROR(__xludf.DUMMYFUNCTION("""COMPUTED_VALUE"""),"5439357")</f>
        <v>5439357</v>
      </c>
      <c r="C324" s="48" t="str">
        <f ca="1">IFERROR(__xludf.DUMMYFUNCTION("""COMPUTED_VALUE"""),"THUILLART")</f>
        <v>THUILLART</v>
      </c>
      <c r="D324" s="48" t="str">
        <f ca="1">IFERROR(__xludf.DUMMYFUNCTION("""COMPUTED_VALUE"""),"Thibault")</f>
        <v>Thibault</v>
      </c>
      <c r="E324" s="49" t="str">
        <f ca="1">IFERROR(__xludf.DUMMYFUNCTION("""COMPUTED_VALUE"""),"06540010")</f>
        <v>06540010</v>
      </c>
      <c r="F324" s="48" t="str">
        <f ca="1">IFERROR(__xludf.DUMMYFUNCTION("""COMPUTED_VALUE"""),"FOUG C.P.")</f>
        <v>FOUG C.P.</v>
      </c>
      <c r="G324" s="50" t="str">
        <f ca="1">IFERROR(__xludf.DUMMYFUNCTION("""COMPUTED_VALUE"""),"CD54")</f>
        <v>CD54</v>
      </c>
      <c r="H324" s="50" t="str">
        <f ca="1">IFERROR(__xludf.DUMMYFUNCTION("""COMPUTED_VALUE"""),"actif")</f>
        <v>actif</v>
      </c>
    </row>
    <row r="325" spans="1:8" ht="12.75">
      <c r="A325" s="46">
        <f ca="1">IFERROR(__xludf.DUMMYFUNCTION("""COMPUTED_VALUE"""),313)</f>
        <v>313</v>
      </c>
      <c r="B325" s="47" t="str">
        <f ca="1">IFERROR(__xludf.DUMMYFUNCTION("""COMPUTED_VALUE"""),"5734607")</f>
        <v>5734607</v>
      </c>
      <c r="C325" s="48" t="str">
        <f ca="1">IFERROR(__xludf.DUMMYFUNCTION("""COMPUTED_VALUE"""),"TONNELIER")</f>
        <v>TONNELIER</v>
      </c>
      <c r="D325" s="48" t="str">
        <f ca="1">IFERROR(__xludf.DUMMYFUNCTION("""COMPUTED_VALUE"""),"Louis")</f>
        <v>Louis</v>
      </c>
      <c r="E325" s="49" t="str">
        <f ca="1">IFERROR(__xludf.DUMMYFUNCTION("""COMPUTED_VALUE"""),"06570019")</f>
        <v>06570019</v>
      </c>
      <c r="F325" s="48" t="str">
        <f ca="1">IFERROR(__xludf.DUMMYFUNCTION("""COMPUTED_VALUE"""),"SAINT AVOLD C.T.T.")</f>
        <v>SAINT AVOLD C.T.T.</v>
      </c>
      <c r="G325" s="50" t="str">
        <f ca="1">IFERROR(__xludf.DUMMYFUNCTION("""COMPUTED_VALUE"""),"CD57")</f>
        <v>CD57</v>
      </c>
      <c r="H325" s="50" t="str">
        <f ca="1">IFERROR(__xludf.DUMMYFUNCTION("""COMPUTED_VALUE"""),"actif")</f>
        <v>actif</v>
      </c>
    </row>
    <row r="326" spans="1:8" ht="12.75">
      <c r="A326" s="46">
        <f ca="1">IFERROR(__xludf.DUMMYFUNCTION("""COMPUTED_VALUE"""),314)</f>
        <v>314</v>
      </c>
      <c r="B326" s="47" t="str">
        <f ca="1">IFERROR(__xludf.DUMMYFUNCTION("""COMPUTED_VALUE"""),"5734440")</f>
        <v>5734440</v>
      </c>
      <c r="C326" s="48" t="str">
        <f ca="1">IFERROR(__xludf.DUMMYFUNCTION("""COMPUTED_VALUE"""),"TOSOLINI")</f>
        <v>TOSOLINI</v>
      </c>
      <c r="D326" s="48" t="str">
        <f ca="1">IFERROR(__xludf.DUMMYFUNCTION("""COMPUTED_VALUE"""),"Maxime")</f>
        <v>Maxime</v>
      </c>
      <c r="E326" s="49" t="str">
        <f ca="1">IFERROR(__xludf.DUMMYFUNCTION("""COMPUTED_VALUE"""),"06570073")</f>
        <v>06570073</v>
      </c>
      <c r="F326" s="48" t="str">
        <f ca="1">IFERROR(__xludf.DUMMYFUNCTION("""COMPUTED_VALUE"""),"TERVILLE Tennis de Table")</f>
        <v>TERVILLE Tennis de Table</v>
      </c>
      <c r="G326" s="50" t="str">
        <f ca="1">IFERROR(__xludf.DUMMYFUNCTION("""COMPUTED_VALUE"""),"CD57")</f>
        <v>CD57</v>
      </c>
      <c r="H326" s="50" t="str">
        <f ca="1">IFERROR(__xludf.DUMMYFUNCTION("""COMPUTED_VALUE"""),"actif")</f>
        <v>actif</v>
      </c>
    </row>
    <row r="327" spans="1:8" ht="12.75">
      <c r="A327" s="46">
        <f ca="1">IFERROR(__xludf.DUMMYFUNCTION("""COMPUTED_VALUE"""),315)</f>
        <v>315</v>
      </c>
      <c r="B327" s="47" t="str">
        <f ca="1">IFERROR(__xludf.DUMMYFUNCTION("""COMPUTED_VALUE"""),"5738945")</f>
        <v>5738945</v>
      </c>
      <c r="C327" s="48" t="str">
        <f ca="1">IFERROR(__xludf.DUMMYFUNCTION("""COMPUTED_VALUE"""),"TREIBER")</f>
        <v>TREIBER</v>
      </c>
      <c r="D327" s="48" t="str">
        <f ca="1">IFERROR(__xludf.DUMMYFUNCTION("""COMPUTED_VALUE"""),"Steffy")</f>
        <v>Steffy</v>
      </c>
      <c r="E327" s="49" t="str">
        <f ca="1">IFERROR(__xludf.DUMMYFUNCTION("""COMPUTED_VALUE"""),"06570073")</f>
        <v>06570073</v>
      </c>
      <c r="F327" s="48" t="str">
        <f ca="1">IFERROR(__xludf.DUMMYFUNCTION("""COMPUTED_VALUE"""),"TERVILLE Tennis de Table")</f>
        <v>TERVILLE Tennis de Table</v>
      </c>
      <c r="G327" s="50" t="str">
        <f ca="1">IFERROR(__xludf.DUMMYFUNCTION("""COMPUTED_VALUE"""),"CD57")</f>
        <v>CD57</v>
      </c>
      <c r="H327" s="50" t="str">
        <f ca="1">IFERROR(__xludf.DUMMYFUNCTION("""COMPUTED_VALUE"""),"actif")</f>
        <v>actif</v>
      </c>
    </row>
    <row r="328" spans="1:8" ht="12.75">
      <c r="A328" s="46">
        <f ca="1">IFERROR(__xludf.DUMMYFUNCTION("""COMPUTED_VALUE"""),316)</f>
        <v>316</v>
      </c>
      <c r="B328" s="47" t="str">
        <f ca="1">IFERROR(__xludf.DUMMYFUNCTION("""COMPUTED_VALUE"""),"5430398")</f>
        <v>5430398</v>
      </c>
      <c r="C328" s="48" t="str">
        <f ca="1">IFERROR(__xludf.DUMMYFUNCTION("""COMPUTED_VALUE"""),"TROUP")</f>
        <v>TROUP</v>
      </c>
      <c r="D328" s="48" t="str">
        <f ca="1">IFERROR(__xludf.DUMMYFUNCTION("""COMPUTED_VALUE"""),"Charlotte")</f>
        <v>Charlotte</v>
      </c>
      <c r="E328" s="49" t="str">
        <f ca="1">IFERROR(__xludf.DUMMYFUNCTION("""COMPUTED_VALUE"""),"06540040")</f>
        <v>06540040</v>
      </c>
      <c r="F328" s="48" t="str">
        <f ca="1">IFERROR(__xludf.DUMMYFUNCTION("""COMPUTED_VALUE"""),"VILLERS LES NANCY C.O.S.")</f>
        <v>VILLERS LES NANCY C.O.S.</v>
      </c>
      <c r="G328" s="50" t="str">
        <f ca="1">IFERROR(__xludf.DUMMYFUNCTION("""COMPUTED_VALUE"""),"CD54")</f>
        <v>CD54</v>
      </c>
      <c r="H328" s="50" t="str">
        <f ca="1">IFERROR(__xludf.DUMMYFUNCTION("""COMPUTED_VALUE"""),"actif")</f>
        <v>actif</v>
      </c>
    </row>
    <row r="329" spans="1:8" ht="12.75">
      <c r="A329" s="46">
        <f ca="1">IFERROR(__xludf.DUMMYFUNCTION("""COMPUTED_VALUE"""),317)</f>
        <v>317</v>
      </c>
      <c r="B329" s="47" t="str">
        <f ca="1">IFERROR(__xludf.DUMMYFUNCTION("""COMPUTED_VALUE"""),"5114181")</f>
        <v>5114181</v>
      </c>
      <c r="C329" s="48" t="str">
        <f ca="1">IFERROR(__xludf.DUMMYFUNCTION("""COMPUTED_VALUE"""),"VAROQUEAUX")</f>
        <v>VAROQUEAUX</v>
      </c>
      <c r="D329" s="48" t="str">
        <f ca="1">IFERROR(__xludf.DUMMYFUNCTION("""COMPUTED_VALUE"""),"Axel")</f>
        <v>Axel</v>
      </c>
      <c r="E329" s="49" t="str">
        <f ca="1">IFERROR(__xludf.DUMMYFUNCTION("""COMPUTED_VALUE"""),"06510112")</f>
        <v>06510112</v>
      </c>
      <c r="F329" s="48" t="str">
        <f ca="1">IFERROR(__xludf.DUMMYFUNCTION("""COMPUTED_VALUE"""),"CHALONS-EN-CHAMPAGNE TT")</f>
        <v>CHALONS-EN-CHAMPAGNE TT</v>
      </c>
      <c r="G329" s="50" t="str">
        <f ca="1">IFERROR(__xludf.DUMMYFUNCTION("""COMPUTED_VALUE"""),"CD51")</f>
        <v>CD51</v>
      </c>
      <c r="H329" s="50" t="str">
        <f ca="1">IFERROR(__xludf.DUMMYFUNCTION("""COMPUTED_VALUE"""),"actif")</f>
        <v>actif</v>
      </c>
    </row>
    <row r="330" spans="1:8" ht="12.75">
      <c r="A330" s="46">
        <f ca="1">IFERROR(__xludf.DUMMYFUNCTION("""COMPUTED_VALUE"""),318)</f>
        <v>318</v>
      </c>
      <c r="B330" s="47" t="str">
        <f ca="1">IFERROR(__xludf.DUMMYFUNCTION("""COMPUTED_VALUE"""),"107399")</f>
        <v>107399</v>
      </c>
      <c r="C330" s="48" t="str">
        <f ca="1">IFERROR(__xludf.DUMMYFUNCTION("""COMPUTED_VALUE"""),"VAUTHIER")</f>
        <v>VAUTHIER</v>
      </c>
      <c r="D330" s="48" t="str">
        <f ca="1">IFERROR(__xludf.DUMMYFUNCTION("""COMPUTED_VALUE"""),"Guillaume")</f>
        <v>Guillaume</v>
      </c>
      <c r="E330" s="49" t="str">
        <f ca="1">IFERROR(__xludf.DUMMYFUNCTION("""COMPUTED_VALUE"""),"06100002")</f>
        <v>06100002</v>
      </c>
      <c r="F330" s="48" t="str">
        <f ca="1">IFERROR(__xludf.DUMMYFUNCTION("""COMPUTED_VALUE"""),"TROYES O.S - NOËS TT")</f>
        <v>TROYES O.S - NOËS TT</v>
      </c>
      <c r="G330" s="50" t="str">
        <f ca="1">IFERROR(__xludf.DUMMYFUNCTION("""COMPUTED_VALUE"""),"CD10")</f>
        <v>CD10</v>
      </c>
      <c r="H330" s="50" t="str">
        <f ca="1">IFERROR(__xludf.DUMMYFUNCTION("""COMPUTED_VALUE"""),"actif")</f>
        <v>actif</v>
      </c>
    </row>
    <row r="331" spans="1:8" ht="12.75">
      <c r="A331" s="46">
        <f ca="1">IFERROR(__xludf.DUMMYFUNCTION("""COMPUTED_VALUE"""),319)</f>
        <v>319</v>
      </c>
      <c r="B331" s="47" t="str">
        <f ca="1">IFERROR(__xludf.DUMMYFUNCTION("""COMPUTED_VALUE"""),"8819356")</f>
        <v>8819356</v>
      </c>
      <c r="C331" s="48" t="str">
        <f ca="1">IFERROR(__xludf.DUMMYFUNCTION("""COMPUTED_VALUE"""),"VENDIER")</f>
        <v>VENDIER</v>
      </c>
      <c r="D331" s="48" t="str">
        <f ca="1">IFERROR(__xludf.DUMMYFUNCTION("""COMPUTED_VALUE"""),"Lucas")</f>
        <v>Lucas</v>
      </c>
      <c r="E331" s="49" t="str">
        <f ca="1">IFERROR(__xludf.DUMMYFUNCTION("""COMPUTED_VALUE"""),"06880123")</f>
        <v>06880123</v>
      </c>
      <c r="F331" s="48" t="str">
        <f ca="1">IFERROR(__xludf.DUMMYFUNCTION("""COMPUTED_VALUE"""),"ETIVAL ASRTT")</f>
        <v>ETIVAL ASRTT</v>
      </c>
      <c r="G331" s="50" t="str">
        <f ca="1">IFERROR(__xludf.DUMMYFUNCTION("""COMPUTED_VALUE"""),"CD88")</f>
        <v>CD88</v>
      </c>
      <c r="H331" s="50" t="str">
        <f ca="1">IFERROR(__xludf.DUMMYFUNCTION("""COMPUTED_VALUE"""),"actif")</f>
        <v>actif</v>
      </c>
    </row>
    <row r="332" spans="1:8" ht="12.75">
      <c r="A332" s="46">
        <f ca="1">IFERROR(__xludf.DUMMYFUNCTION("""COMPUTED_VALUE"""),320)</f>
        <v>320</v>
      </c>
      <c r="B332" s="47" t="str">
        <f ca="1">IFERROR(__xludf.DUMMYFUNCTION("""COMPUTED_VALUE"""),"8818448")</f>
        <v>8818448</v>
      </c>
      <c r="C332" s="48" t="str">
        <f ca="1">IFERROR(__xludf.DUMMYFUNCTION("""COMPUTED_VALUE"""),"VENDIER")</f>
        <v>VENDIER</v>
      </c>
      <c r="D332" s="48" t="str">
        <f ca="1">IFERROR(__xludf.DUMMYFUNCTION("""COMPUTED_VALUE"""),"Justine")</f>
        <v>Justine</v>
      </c>
      <c r="E332" s="49" t="str">
        <f ca="1">IFERROR(__xludf.DUMMYFUNCTION("""COMPUTED_VALUE"""),"06540193")</f>
        <v>06540193</v>
      </c>
      <c r="F332" s="48" t="str">
        <f ca="1">IFERROR(__xludf.DUMMYFUNCTION("""COMPUTED_VALUE"""),"BACCARAT ABTT")</f>
        <v>BACCARAT ABTT</v>
      </c>
      <c r="G332" s="50" t="str">
        <f ca="1">IFERROR(__xludf.DUMMYFUNCTION("""COMPUTED_VALUE"""),"CD54")</f>
        <v>CD54</v>
      </c>
      <c r="H332" s="50" t="str">
        <f ca="1">IFERROR(__xludf.DUMMYFUNCTION("""COMPUTED_VALUE"""),"actif")</f>
        <v>actif</v>
      </c>
    </row>
    <row r="333" spans="1:8" ht="12.75">
      <c r="A333" s="46">
        <f ca="1">IFERROR(__xludf.DUMMYFUNCTION("""COMPUTED_VALUE"""),321)</f>
        <v>321</v>
      </c>
      <c r="B333" s="47" t="str">
        <f ca="1">IFERROR(__xludf.DUMMYFUNCTION("""COMPUTED_VALUE"""),"8812916")</f>
        <v>8812916</v>
      </c>
      <c r="C333" s="48" t="str">
        <f ca="1">IFERROR(__xludf.DUMMYFUNCTION("""COMPUTED_VALUE"""),"VENET")</f>
        <v>VENET</v>
      </c>
      <c r="D333" s="48" t="str">
        <f ca="1">IFERROR(__xludf.DUMMYFUNCTION("""COMPUTED_VALUE"""),"Florian")</f>
        <v>Florian</v>
      </c>
      <c r="E333" s="49" t="str">
        <f ca="1">IFERROR(__xludf.DUMMYFUNCTION("""COMPUTED_VALUE"""),"06570190")</f>
        <v>06570190</v>
      </c>
      <c r="F333" s="48" t="str">
        <f ca="1">IFERROR(__xludf.DUMMYFUNCTION("""COMPUTED_VALUE"""),"METZ Tennis de Table")</f>
        <v>METZ Tennis de Table</v>
      </c>
      <c r="G333" s="50" t="str">
        <f ca="1">IFERROR(__xludf.DUMMYFUNCTION("""COMPUTED_VALUE"""),"CD57")</f>
        <v>CD57</v>
      </c>
      <c r="H333" s="50" t="str">
        <f ca="1">IFERROR(__xludf.DUMMYFUNCTION("""COMPUTED_VALUE"""),"actif")</f>
        <v>actif</v>
      </c>
    </row>
    <row r="334" spans="1:8" ht="12.75">
      <c r="A334" s="46">
        <f ca="1">IFERROR(__xludf.DUMMYFUNCTION("""COMPUTED_VALUE"""),322)</f>
        <v>322</v>
      </c>
      <c r="B334" s="47" t="str">
        <f ca="1">IFERROR(__xludf.DUMMYFUNCTION("""COMPUTED_VALUE"""),"5439249")</f>
        <v>5439249</v>
      </c>
      <c r="C334" s="48" t="str">
        <f ca="1">IFERROR(__xludf.DUMMYFUNCTION("""COMPUTED_VALUE"""),"VIKY")</f>
        <v>VIKY</v>
      </c>
      <c r="D334" s="48" t="str">
        <f ca="1">IFERROR(__xludf.DUMMYFUNCTION("""COMPUTED_VALUE"""),"Alison")</f>
        <v>Alison</v>
      </c>
      <c r="E334" s="49" t="str">
        <f ca="1">IFERROR(__xludf.DUMMYFUNCTION("""COMPUTED_VALUE"""),"06540010")</f>
        <v>06540010</v>
      </c>
      <c r="F334" s="48" t="str">
        <f ca="1">IFERROR(__xludf.DUMMYFUNCTION("""COMPUTED_VALUE"""),"FOUG C.P.")</f>
        <v>FOUG C.P.</v>
      </c>
      <c r="G334" s="50" t="str">
        <f ca="1">IFERROR(__xludf.DUMMYFUNCTION("""COMPUTED_VALUE"""),"CD54")</f>
        <v>CD54</v>
      </c>
      <c r="H334" s="50" t="str">
        <f ca="1">IFERROR(__xludf.DUMMYFUNCTION("""COMPUTED_VALUE"""),"actif")</f>
        <v>actif</v>
      </c>
    </row>
    <row r="335" spans="1:8" ht="12.75">
      <c r="A335" s="46">
        <f ca="1">IFERROR(__xludf.DUMMYFUNCTION("""COMPUTED_VALUE"""),323)</f>
        <v>323</v>
      </c>
      <c r="B335" s="47" t="str">
        <f ca="1">IFERROR(__xludf.DUMMYFUNCTION("""COMPUTED_VALUE"""),"554706")</f>
        <v>554706</v>
      </c>
      <c r="C335" s="48" t="str">
        <f ca="1">IFERROR(__xludf.DUMMYFUNCTION("""COMPUTED_VALUE"""),"VIOT")</f>
        <v>VIOT</v>
      </c>
      <c r="D335" s="48" t="str">
        <f ca="1">IFERROR(__xludf.DUMMYFUNCTION("""COMPUTED_VALUE"""),"Lucas")</f>
        <v>Lucas</v>
      </c>
      <c r="E335" s="49" t="str">
        <f ca="1">IFERROR(__xludf.DUMMYFUNCTION("""COMPUTED_VALUE"""),"06510105")</f>
        <v>06510105</v>
      </c>
      <c r="F335" s="48" t="str">
        <f ca="1">IFERROR(__xludf.DUMMYFUNCTION("""COMPUTED_VALUE"""),"GIVRY-EN-ARGONNE ATPP")</f>
        <v>GIVRY-EN-ARGONNE ATPP</v>
      </c>
      <c r="G335" s="50" t="str">
        <f ca="1">IFERROR(__xludf.DUMMYFUNCTION("""COMPUTED_VALUE"""),"CD51")</f>
        <v>CD51</v>
      </c>
      <c r="H335" s="50" t="str">
        <f ca="1">IFERROR(__xludf.DUMMYFUNCTION("""COMPUTED_VALUE"""),"actif")</f>
        <v>actif</v>
      </c>
    </row>
    <row r="336" spans="1:8" ht="12.75">
      <c r="A336" s="46">
        <f ca="1">IFERROR(__xludf.DUMMYFUNCTION("""COMPUTED_VALUE"""),324)</f>
        <v>324</v>
      </c>
      <c r="B336" s="47" t="str">
        <f ca="1">IFERROR(__xludf.DUMMYFUNCTION("""COMPUTED_VALUE"""),"688091")</f>
        <v>688091</v>
      </c>
      <c r="C336" s="48" t="str">
        <f ca="1">IFERROR(__xludf.DUMMYFUNCTION("""COMPUTED_VALUE"""),"VOISIN")</f>
        <v>VOISIN</v>
      </c>
      <c r="D336" s="48" t="str">
        <f ca="1">IFERROR(__xludf.DUMMYFUNCTION("""COMPUTED_VALUE"""),"Melanie")</f>
        <v>Melanie</v>
      </c>
      <c r="E336" s="49" t="str">
        <f ca="1">IFERROR(__xludf.DUMMYFUNCTION("""COMPUTED_VALUE"""),"06680105")</f>
        <v>06680105</v>
      </c>
      <c r="F336" s="48" t="str">
        <f ca="1">IFERROR(__xludf.DUMMYFUNCTION("""COMPUTED_VALUE"""),"MULHOUSE TENNIS DE TABLE")</f>
        <v>MULHOUSE TENNIS DE TABLE</v>
      </c>
      <c r="G336" s="50" t="str">
        <f ca="1">IFERROR(__xludf.DUMMYFUNCTION("""COMPUTED_VALUE"""),"CD68")</f>
        <v>CD68</v>
      </c>
      <c r="H336" s="50" t="str">
        <f ca="1">IFERROR(__xludf.DUMMYFUNCTION("""COMPUTED_VALUE"""),"actif")</f>
        <v>actif</v>
      </c>
    </row>
    <row r="337" spans="1:8" ht="12.75">
      <c r="A337" s="46">
        <f ca="1">IFERROR(__xludf.DUMMYFUNCTION("""COMPUTED_VALUE"""),325)</f>
        <v>325</v>
      </c>
      <c r="B337" s="47" t="str">
        <f ca="1">IFERROR(__xludf.DUMMYFUNCTION("""COMPUTED_VALUE"""),"6724664")</f>
        <v>6724664</v>
      </c>
      <c r="C337" s="48" t="str">
        <f ca="1">IFERROR(__xludf.DUMMYFUNCTION("""COMPUTED_VALUE"""),"WEBER")</f>
        <v>WEBER</v>
      </c>
      <c r="D337" s="48" t="str">
        <f ca="1">IFERROR(__xludf.DUMMYFUNCTION("""COMPUTED_VALUE"""),"Etienne")</f>
        <v>Etienne</v>
      </c>
      <c r="E337" s="49" t="str">
        <f ca="1">IFERROR(__xludf.DUMMYFUNCTION("""COMPUTED_VALUE"""),"06670149")</f>
        <v>06670149</v>
      </c>
      <c r="F337" s="48" t="str">
        <f ca="1">IFERROR(__xludf.DUMMYFUNCTION("""COMPUTED_VALUE"""),"DORLISHEIM SD")</f>
        <v>DORLISHEIM SD</v>
      </c>
      <c r="G337" s="50" t="str">
        <f ca="1">IFERROR(__xludf.DUMMYFUNCTION("""COMPUTED_VALUE"""),"CD67")</f>
        <v>CD67</v>
      </c>
      <c r="H337" s="50" t="str">
        <f ca="1">IFERROR(__xludf.DUMMYFUNCTION("""COMPUTED_VALUE"""),"actif")</f>
        <v>actif</v>
      </c>
    </row>
    <row r="338" spans="1:8" ht="12.75">
      <c r="A338" s="46">
        <f ca="1">IFERROR(__xludf.DUMMYFUNCTION("""COMPUTED_VALUE"""),326)</f>
        <v>326</v>
      </c>
      <c r="B338" s="47" t="str">
        <f ca="1">IFERROR(__xludf.DUMMYFUNCTION("""COMPUTED_VALUE"""),"687622")</f>
        <v>687622</v>
      </c>
      <c r="C338" s="48" t="str">
        <f ca="1">IFERROR(__xludf.DUMMYFUNCTION("""COMPUTED_VALUE"""),"WEISANG")</f>
        <v>WEISANG</v>
      </c>
      <c r="D338" s="48" t="str">
        <f ca="1">IFERROR(__xludf.DUMMYFUNCTION("""COMPUTED_VALUE"""),"Nicolas")</f>
        <v>Nicolas</v>
      </c>
      <c r="E338" s="49" t="str">
        <f ca="1">IFERROR(__xludf.DUMMYFUNCTION("""COMPUTED_VALUE"""),"06680119")</f>
        <v>06680119</v>
      </c>
      <c r="F338" s="48" t="str">
        <f ca="1">IFERROR(__xludf.DUMMYFUNCTION("""COMPUTED_VALUE"""),"COLMAR C.C.C. T.T.")</f>
        <v>COLMAR C.C.C. T.T.</v>
      </c>
      <c r="G338" s="50" t="str">
        <f ca="1">IFERROR(__xludf.DUMMYFUNCTION("""COMPUTED_VALUE"""),"CD68")</f>
        <v>CD68</v>
      </c>
      <c r="H338" s="50" t="str">
        <f ca="1">IFERROR(__xludf.DUMMYFUNCTION("""COMPUTED_VALUE"""),"actif")</f>
        <v>actif</v>
      </c>
    </row>
    <row r="339" spans="1:8" ht="12.75">
      <c r="A339" s="46">
        <f ca="1">IFERROR(__xludf.DUMMYFUNCTION("""COMPUTED_VALUE"""),327)</f>
        <v>327</v>
      </c>
      <c r="B339" s="47" t="str">
        <f ca="1">IFERROR(__xludf.DUMMYFUNCTION("""COMPUTED_VALUE"""),"684966")</f>
        <v>684966</v>
      </c>
      <c r="C339" s="48" t="str">
        <f ca="1">IFERROR(__xludf.DUMMYFUNCTION("""COMPUTED_VALUE"""),"WITZ")</f>
        <v>WITZ</v>
      </c>
      <c r="D339" s="48" t="str">
        <f ca="1">IFERROR(__xludf.DUMMYFUNCTION("""COMPUTED_VALUE"""),"Christian")</f>
        <v>Christian</v>
      </c>
      <c r="E339" s="49" t="str">
        <f ca="1">IFERROR(__xludf.DUMMYFUNCTION("""COMPUTED_VALUE"""),"06680082")</f>
        <v>06680082</v>
      </c>
      <c r="F339" s="48" t="str">
        <f ca="1">IFERROR(__xludf.DUMMYFUNCTION("""COMPUTED_VALUE"""),"SAINT-LOUIS TT")</f>
        <v>SAINT-LOUIS TT</v>
      </c>
      <c r="G339" s="50" t="str">
        <f ca="1">IFERROR(__xludf.DUMMYFUNCTION("""COMPUTED_VALUE"""),"CD68")</f>
        <v>CD68</v>
      </c>
      <c r="H339" s="50" t="str">
        <f ca="1">IFERROR(__xludf.DUMMYFUNCTION("""COMPUTED_VALUE"""),"actif")</f>
        <v>actif</v>
      </c>
    </row>
    <row r="340" spans="1:8" ht="12.75">
      <c r="A340" s="46">
        <f ca="1">IFERROR(__xludf.DUMMYFUNCTION("""COMPUTED_VALUE"""),328)</f>
        <v>328</v>
      </c>
      <c r="B340" s="47" t="str">
        <f ca="1">IFERROR(__xludf.DUMMYFUNCTION("""COMPUTED_VALUE"""),"5612304")</f>
        <v>5612304</v>
      </c>
      <c r="C340" s="48" t="str">
        <f ca="1">IFERROR(__xludf.DUMMYFUNCTION("""COMPUTED_VALUE"""),"XU")</f>
        <v>XU</v>
      </c>
      <c r="D340" s="48" t="str">
        <f ca="1">IFERROR(__xludf.DUMMYFUNCTION("""COMPUTED_VALUE"""),"Gang")</f>
        <v>Gang</v>
      </c>
      <c r="E340" s="49" t="str">
        <f ca="1">IFERROR(__xludf.DUMMYFUNCTION("""COMPUTED_VALUE"""),"06510001")</f>
        <v>06510001</v>
      </c>
      <c r="F340" s="48" t="str">
        <f ca="1">IFERROR(__xludf.DUMMYFUNCTION("""COMPUTED_VALUE"""),"REIMS OLYMPIQUE TT")</f>
        <v>REIMS OLYMPIQUE TT</v>
      </c>
      <c r="G340" s="50" t="str">
        <f ca="1">IFERROR(__xludf.DUMMYFUNCTION("""COMPUTED_VALUE"""),"CD51")</f>
        <v>CD51</v>
      </c>
      <c r="H340" s="50" t="str">
        <f ca="1">IFERROR(__xludf.DUMMYFUNCTION("""COMPUTED_VALUE"""),"actif")</f>
        <v>actif</v>
      </c>
    </row>
    <row r="341" spans="1:8" ht="12.75">
      <c r="A341" s="46">
        <f ca="1">IFERROR(__xludf.DUMMYFUNCTION("""COMPUTED_VALUE"""),329)</f>
        <v>329</v>
      </c>
      <c r="B341" s="47" t="str">
        <f ca="1">IFERROR(__xludf.DUMMYFUNCTION("""COMPUTED_VALUE"""),"679734")</f>
        <v>679734</v>
      </c>
      <c r="C341" s="48" t="str">
        <f ca="1">IFERROR(__xludf.DUMMYFUNCTION("""COMPUTED_VALUE"""),"ZAEHRINGER")</f>
        <v>ZAEHRINGER</v>
      </c>
      <c r="D341" s="48" t="str">
        <f ca="1">IFERROR(__xludf.DUMMYFUNCTION("""COMPUTED_VALUE"""),"Genevieve")</f>
        <v>Genevieve</v>
      </c>
      <c r="E341" s="49" t="str">
        <f ca="1">IFERROR(__xludf.DUMMYFUNCTION("""COMPUTED_VALUE"""),"06670002")</f>
        <v>06670002</v>
      </c>
      <c r="F341" s="48" t="str">
        <f ca="1">IFERROR(__xludf.DUMMYFUNCTION("""COMPUTED_VALUE"""),"STRASBOURG ST JEAN CS 1852")</f>
        <v>STRASBOURG ST JEAN CS 1852</v>
      </c>
      <c r="G341" s="50" t="str">
        <f ca="1">IFERROR(__xludf.DUMMYFUNCTION("""COMPUTED_VALUE"""),"CD67")</f>
        <v>CD67</v>
      </c>
      <c r="H341" s="50" t="str">
        <f ca="1">IFERROR(__xludf.DUMMYFUNCTION("""COMPUTED_VALUE"""),"actif")</f>
        <v>actif</v>
      </c>
    </row>
    <row r="342" spans="1:8" ht="12.75">
      <c r="A342" s="46">
        <f ca="1">IFERROR(__xludf.DUMMYFUNCTION("""COMPUTED_VALUE"""),330)</f>
        <v>330</v>
      </c>
      <c r="B342" s="47" t="str">
        <f ca="1">IFERROR(__xludf.DUMMYFUNCTION("""COMPUTED_VALUE"""),"6720870")</f>
        <v>6720870</v>
      </c>
      <c r="C342" s="48" t="str">
        <f ca="1">IFERROR(__xludf.DUMMYFUNCTION("""COMPUTED_VALUE"""),"ZIMMERLIN")</f>
        <v>ZIMMERLIN</v>
      </c>
      <c r="D342" s="48" t="str">
        <f ca="1">IFERROR(__xludf.DUMMYFUNCTION("""COMPUTED_VALUE"""),"Antoine")</f>
        <v>Antoine</v>
      </c>
      <c r="E342" s="49" t="str">
        <f ca="1">IFERROR(__xludf.DUMMYFUNCTION("""COMPUTED_VALUE"""),"06670270")</f>
        <v>06670270</v>
      </c>
      <c r="F342" s="48" t="str">
        <f ca="1">IFERROR(__xludf.DUMMYFUNCTION("""COMPUTED_VALUE"""),"STRASBOURG EUROMETROPOLE TT")</f>
        <v>STRASBOURG EUROMETROPOLE TT</v>
      </c>
      <c r="G342" s="50" t="str">
        <f ca="1">IFERROR(__xludf.DUMMYFUNCTION("""COMPUTED_VALUE"""),"CD67")</f>
        <v>CD67</v>
      </c>
      <c r="H342" s="50" t="str">
        <f ca="1">IFERROR(__xludf.DUMMYFUNCTION("""COMPUTED_VALUE"""),"actif")</f>
        <v>actif</v>
      </c>
    </row>
    <row r="343" spans="1:8" ht="12.75">
      <c r="A343" s="46" t="str">
        <f ca="1">IFERROR(__xludf.DUMMYFUNCTION("""COMPUTED_VALUE"""),"")</f>
        <v/>
      </c>
      <c r="B343" s="47"/>
      <c r="C343" s="48" t="str">
        <f ca="1">IFERROR(__xludf.DUMMYFUNCTION("""COMPUTED_VALUE"""),"")</f>
        <v/>
      </c>
      <c r="D343" s="48" t="str">
        <f ca="1">IFERROR(__xludf.DUMMYFUNCTION("""COMPUTED_VALUE"""),"")</f>
        <v/>
      </c>
      <c r="E343" s="49" t="str">
        <f ca="1">IFERROR(__xludf.DUMMYFUNCTION("""COMPUTED_VALUE"""),"")</f>
        <v/>
      </c>
      <c r="F343" s="48" t="str">
        <f ca="1">IFERROR(__xludf.DUMMYFUNCTION("""COMPUTED_VALUE"""),"")</f>
        <v/>
      </c>
      <c r="G343" s="50" t="str">
        <f ca="1">IFERROR(__xludf.DUMMYFUNCTION("""COMPUTED_VALUE"""),"")</f>
        <v/>
      </c>
      <c r="H343" s="50" t="str">
        <f ca="1">IFERROR(__xludf.DUMMYFUNCTION("""COMPUTED_VALUE"""),"")</f>
        <v/>
      </c>
    </row>
    <row r="344" spans="1:8" ht="12.75">
      <c r="A344" s="46" t="str">
        <f ca="1">IFERROR(__xludf.DUMMYFUNCTION("""COMPUTED_VALUE"""),"")</f>
        <v/>
      </c>
      <c r="B344" s="47"/>
      <c r="C344" s="48" t="str">
        <f ca="1">IFERROR(__xludf.DUMMYFUNCTION("""COMPUTED_VALUE"""),"")</f>
        <v/>
      </c>
      <c r="D344" s="48" t="str">
        <f ca="1">IFERROR(__xludf.DUMMYFUNCTION("""COMPUTED_VALUE"""),"")</f>
        <v/>
      </c>
      <c r="E344" s="49" t="str">
        <f ca="1">IFERROR(__xludf.DUMMYFUNCTION("""COMPUTED_VALUE"""),"")</f>
        <v/>
      </c>
      <c r="F344" s="48" t="str">
        <f ca="1">IFERROR(__xludf.DUMMYFUNCTION("""COMPUTED_VALUE"""),"")</f>
        <v/>
      </c>
      <c r="G344" s="50" t="str">
        <f ca="1">IFERROR(__xludf.DUMMYFUNCTION("""COMPUTED_VALUE"""),"")</f>
        <v/>
      </c>
      <c r="H344" s="50" t="str">
        <f ca="1">IFERROR(__xludf.DUMMYFUNCTION("""COMPUTED_VALUE"""),"")</f>
        <v/>
      </c>
    </row>
    <row r="345" spans="1:8" ht="12.75">
      <c r="A345" s="46" t="str">
        <f ca="1">IFERROR(__xludf.DUMMYFUNCTION("""COMPUTED_VALUE"""),"")</f>
        <v/>
      </c>
      <c r="B345" s="47"/>
      <c r="C345" s="48" t="str">
        <f ca="1">IFERROR(__xludf.DUMMYFUNCTION("""COMPUTED_VALUE"""),"")</f>
        <v/>
      </c>
      <c r="D345" s="48" t="str">
        <f ca="1">IFERROR(__xludf.DUMMYFUNCTION("""COMPUTED_VALUE"""),"")</f>
        <v/>
      </c>
      <c r="E345" s="49" t="str">
        <f ca="1">IFERROR(__xludf.DUMMYFUNCTION("""COMPUTED_VALUE"""),"")</f>
        <v/>
      </c>
      <c r="F345" s="48" t="str">
        <f ca="1">IFERROR(__xludf.DUMMYFUNCTION("""COMPUTED_VALUE"""),"")</f>
        <v/>
      </c>
      <c r="G345" s="50" t="str">
        <f ca="1">IFERROR(__xludf.DUMMYFUNCTION("""COMPUTED_VALUE"""),"")</f>
        <v/>
      </c>
      <c r="H345" s="50" t="str">
        <f ca="1">IFERROR(__xludf.DUMMYFUNCTION("""COMPUTED_VALUE"""),"")</f>
        <v/>
      </c>
    </row>
    <row r="346" spans="1:8" ht="12.75">
      <c r="A346" s="46" t="str">
        <f ca="1">IFERROR(__xludf.DUMMYFUNCTION("""COMPUTED_VALUE"""),"")</f>
        <v/>
      </c>
      <c r="B346" s="47"/>
      <c r="C346" s="48" t="str">
        <f ca="1">IFERROR(__xludf.DUMMYFUNCTION("""COMPUTED_VALUE"""),"")</f>
        <v/>
      </c>
      <c r="D346" s="48" t="str">
        <f ca="1">IFERROR(__xludf.DUMMYFUNCTION("""COMPUTED_VALUE"""),"")</f>
        <v/>
      </c>
      <c r="E346" s="49" t="str">
        <f ca="1">IFERROR(__xludf.DUMMYFUNCTION("""COMPUTED_VALUE"""),"")</f>
        <v/>
      </c>
      <c r="F346" s="48" t="str">
        <f ca="1">IFERROR(__xludf.DUMMYFUNCTION("""COMPUTED_VALUE"""),"")</f>
        <v/>
      </c>
      <c r="G346" s="50" t="str">
        <f ca="1">IFERROR(__xludf.DUMMYFUNCTION("""COMPUTED_VALUE"""),"")</f>
        <v/>
      </c>
      <c r="H346" s="50" t="str">
        <f ca="1">IFERROR(__xludf.DUMMYFUNCTION("""COMPUTED_VALUE"""),"")</f>
        <v/>
      </c>
    </row>
    <row r="347" spans="1:8" ht="12.75">
      <c r="A347" s="46" t="str">
        <f ca="1">IFERROR(__xludf.DUMMYFUNCTION("""COMPUTED_VALUE"""),"")</f>
        <v/>
      </c>
      <c r="B347" s="47"/>
      <c r="C347" s="48" t="str">
        <f ca="1">IFERROR(__xludf.DUMMYFUNCTION("""COMPUTED_VALUE"""),"")</f>
        <v/>
      </c>
      <c r="D347" s="48" t="str">
        <f ca="1">IFERROR(__xludf.DUMMYFUNCTION("""COMPUTED_VALUE"""),"")</f>
        <v/>
      </c>
      <c r="E347" s="49" t="str">
        <f ca="1">IFERROR(__xludf.DUMMYFUNCTION("""COMPUTED_VALUE"""),"")</f>
        <v/>
      </c>
      <c r="F347" s="48" t="str">
        <f ca="1">IFERROR(__xludf.DUMMYFUNCTION("""COMPUTED_VALUE"""),"")</f>
        <v/>
      </c>
      <c r="G347" s="50" t="str">
        <f ca="1">IFERROR(__xludf.DUMMYFUNCTION("""COMPUTED_VALUE"""),"")</f>
        <v/>
      </c>
      <c r="H347" s="50" t="str">
        <f ca="1">IFERROR(__xludf.DUMMYFUNCTION("""COMPUTED_VALUE"""),"")</f>
        <v/>
      </c>
    </row>
    <row r="348" spans="1:8" ht="12.75">
      <c r="A348" s="46" t="str">
        <f ca="1">IFERROR(__xludf.DUMMYFUNCTION("""COMPUTED_VALUE"""),"")</f>
        <v/>
      </c>
      <c r="B348" s="47"/>
      <c r="C348" s="48" t="str">
        <f ca="1">IFERROR(__xludf.DUMMYFUNCTION("""COMPUTED_VALUE"""),"")</f>
        <v/>
      </c>
      <c r="D348" s="48" t="str">
        <f ca="1">IFERROR(__xludf.DUMMYFUNCTION("""COMPUTED_VALUE"""),"")</f>
        <v/>
      </c>
      <c r="E348" s="49" t="str">
        <f ca="1">IFERROR(__xludf.DUMMYFUNCTION("""COMPUTED_VALUE"""),"")</f>
        <v/>
      </c>
      <c r="F348" s="48" t="str">
        <f ca="1">IFERROR(__xludf.DUMMYFUNCTION("""COMPUTED_VALUE"""),"")</f>
        <v/>
      </c>
      <c r="G348" s="50" t="str">
        <f ca="1">IFERROR(__xludf.DUMMYFUNCTION("""COMPUTED_VALUE"""),"")</f>
        <v/>
      </c>
      <c r="H348" s="50" t="str">
        <f ca="1">IFERROR(__xludf.DUMMYFUNCTION("""COMPUTED_VALUE"""),"")</f>
        <v/>
      </c>
    </row>
    <row r="349" spans="1:8" ht="12.75">
      <c r="A349" s="46" t="str">
        <f ca="1">IFERROR(__xludf.DUMMYFUNCTION("""COMPUTED_VALUE"""),"")</f>
        <v/>
      </c>
      <c r="B349" s="47"/>
      <c r="C349" s="48" t="str">
        <f ca="1">IFERROR(__xludf.DUMMYFUNCTION("""COMPUTED_VALUE"""),"")</f>
        <v/>
      </c>
      <c r="D349" s="48" t="str">
        <f ca="1">IFERROR(__xludf.DUMMYFUNCTION("""COMPUTED_VALUE"""),"")</f>
        <v/>
      </c>
      <c r="E349" s="49" t="str">
        <f ca="1">IFERROR(__xludf.DUMMYFUNCTION("""COMPUTED_VALUE"""),"")</f>
        <v/>
      </c>
      <c r="F349" s="48" t="str">
        <f ca="1">IFERROR(__xludf.DUMMYFUNCTION("""COMPUTED_VALUE"""),"")</f>
        <v/>
      </c>
      <c r="G349" s="50" t="str">
        <f ca="1">IFERROR(__xludf.DUMMYFUNCTION("""COMPUTED_VALUE"""),"")</f>
        <v/>
      </c>
      <c r="H349" s="50" t="str">
        <f ca="1">IFERROR(__xludf.DUMMYFUNCTION("""COMPUTED_VALUE"""),"")</f>
        <v/>
      </c>
    </row>
    <row r="350" spans="1:8" ht="12.75">
      <c r="A350" s="46" t="str">
        <f ca="1">IFERROR(__xludf.DUMMYFUNCTION("""COMPUTED_VALUE"""),"")</f>
        <v/>
      </c>
      <c r="B350" s="47"/>
      <c r="C350" s="48" t="str">
        <f ca="1">IFERROR(__xludf.DUMMYFUNCTION("""COMPUTED_VALUE"""),"")</f>
        <v/>
      </c>
      <c r="D350" s="48" t="str">
        <f ca="1">IFERROR(__xludf.DUMMYFUNCTION("""COMPUTED_VALUE"""),"")</f>
        <v/>
      </c>
      <c r="E350" s="49" t="str">
        <f ca="1">IFERROR(__xludf.DUMMYFUNCTION("""COMPUTED_VALUE"""),"")</f>
        <v/>
      </c>
      <c r="F350" s="48" t="str">
        <f ca="1">IFERROR(__xludf.DUMMYFUNCTION("""COMPUTED_VALUE"""),"")</f>
        <v/>
      </c>
      <c r="G350" s="50" t="str">
        <f ca="1">IFERROR(__xludf.DUMMYFUNCTION("""COMPUTED_VALUE"""),"")</f>
        <v/>
      </c>
      <c r="H350" s="50" t="str">
        <f ca="1">IFERROR(__xludf.DUMMYFUNCTION("""COMPUTED_VALUE"""),"")</f>
        <v/>
      </c>
    </row>
    <row r="351" spans="1:8" ht="12.75">
      <c r="A351" s="46" t="str">
        <f ca="1">IFERROR(__xludf.DUMMYFUNCTION("""COMPUTED_VALUE"""),"")</f>
        <v/>
      </c>
      <c r="B351" s="47"/>
      <c r="C351" s="48" t="str">
        <f ca="1">IFERROR(__xludf.DUMMYFUNCTION("""COMPUTED_VALUE"""),"")</f>
        <v/>
      </c>
      <c r="D351" s="48" t="str">
        <f ca="1">IFERROR(__xludf.DUMMYFUNCTION("""COMPUTED_VALUE"""),"")</f>
        <v/>
      </c>
      <c r="E351" s="49" t="str">
        <f ca="1">IFERROR(__xludf.DUMMYFUNCTION("""COMPUTED_VALUE"""),"")</f>
        <v/>
      </c>
      <c r="F351" s="48" t="str">
        <f ca="1">IFERROR(__xludf.DUMMYFUNCTION("""COMPUTED_VALUE"""),"")</f>
        <v/>
      </c>
      <c r="G351" s="50" t="str">
        <f ca="1">IFERROR(__xludf.DUMMYFUNCTION("""COMPUTED_VALUE"""),"")</f>
        <v/>
      </c>
      <c r="H351" s="50" t="str">
        <f ca="1">IFERROR(__xludf.DUMMYFUNCTION("""COMPUTED_VALUE"""),"")</f>
        <v/>
      </c>
    </row>
    <row r="352" spans="1:8" ht="12.75">
      <c r="A352" s="46" t="str">
        <f ca="1">IFERROR(__xludf.DUMMYFUNCTION("""COMPUTED_VALUE"""),"")</f>
        <v/>
      </c>
      <c r="B352" s="47"/>
      <c r="C352" s="48" t="str">
        <f ca="1">IFERROR(__xludf.DUMMYFUNCTION("""COMPUTED_VALUE"""),"")</f>
        <v/>
      </c>
      <c r="D352" s="48" t="str">
        <f ca="1">IFERROR(__xludf.DUMMYFUNCTION("""COMPUTED_VALUE"""),"")</f>
        <v/>
      </c>
      <c r="E352" s="49" t="str">
        <f ca="1">IFERROR(__xludf.DUMMYFUNCTION("""COMPUTED_VALUE"""),"")</f>
        <v/>
      </c>
      <c r="F352" s="48" t="str">
        <f ca="1">IFERROR(__xludf.DUMMYFUNCTION("""COMPUTED_VALUE"""),"")</f>
        <v/>
      </c>
      <c r="G352" s="50" t="str">
        <f ca="1">IFERROR(__xludf.DUMMYFUNCTION("""COMPUTED_VALUE"""),"")</f>
        <v/>
      </c>
      <c r="H352" s="50" t="str">
        <f ca="1">IFERROR(__xludf.DUMMYFUNCTION("""COMPUTED_VALUE"""),"")</f>
        <v/>
      </c>
    </row>
    <row r="353" spans="1:8" ht="12.75">
      <c r="A353" s="46" t="str">
        <f ca="1">IFERROR(__xludf.DUMMYFUNCTION("""COMPUTED_VALUE"""),"")</f>
        <v/>
      </c>
      <c r="B353" s="47"/>
      <c r="C353" s="48" t="str">
        <f ca="1">IFERROR(__xludf.DUMMYFUNCTION("""COMPUTED_VALUE"""),"")</f>
        <v/>
      </c>
      <c r="D353" s="48" t="str">
        <f ca="1">IFERROR(__xludf.DUMMYFUNCTION("""COMPUTED_VALUE"""),"")</f>
        <v/>
      </c>
      <c r="E353" s="49" t="str">
        <f ca="1">IFERROR(__xludf.DUMMYFUNCTION("""COMPUTED_VALUE"""),"")</f>
        <v/>
      </c>
      <c r="F353" s="48" t="str">
        <f ca="1">IFERROR(__xludf.DUMMYFUNCTION("""COMPUTED_VALUE"""),"")</f>
        <v/>
      </c>
      <c r="G353" s="50" t="str">
        <f ca="1">IFERROR(__xludf.DUMMYFUNCTION("""COMPUTED_VALUE"""),"")</f>
        <v/>
      </c>
      <c r="H353" s="50" t="str">
        <f ca="1">IFERROR(__xludf.DUMMYFUNCTION("""COMPUTED_VALUE"""),"")</f>
        <v/>
      </c>
    </row>
    <row r="354" spans="1:8" ht="12.75">
      <c r="A354" s="46" t="str">
        <f ca="1">IFERROR(__xludf.DUMMYFUNCTION("""COMPUTED_VALUE"""),"")</f>
        <v/>
      </c>
      <c r="B354" s="47"/>
      <c r="C354" s="48" t="str">
        <f ca="1">IFERROR(__xludf.DUMMYFUNCTION("""COMPUTED_VALUE"""),"")</f>
        <v/>
      </c>
      <c r="D354" s="48" t="str">
        <f ca="1">IFERROR(__xludf.DUMMYFUNCTION("""COMPUTED_VALUE"""),"")</f>
        <v/>
      </c>
      <c r="E354" s="49" t="str">
        <f ca="1">IFERROR(__xludf.DUMMYFUNCTION("""COMPUTED_VALUE"""),"")</f>
        <v/>
      </c>
      <c r="F354" s="48" t="str">
        <f ca="1">IFERROR(__xludf.DUMMYFUNCTION("""COMPUTED_VALUE"""),"")</f>
        <v/>
      </c>
      <c r="G354" s="50" t="str">
        <f ca="1">IFERROR(__xludf.DUMMYFUNCTION("""COMPUTED_VALUE"""),"")</f>
        <v/>
      </c>
      <c r="H354" s="50" t="str">
        <f ca="1">IFERROR(__xludf.DUMMYFUNCTION("""COMPUTED_VALUE"""),"")</f>
        <v/>
      </c>
    </row>
    <row r="355" spans="1:8" ht="12.75">
      <c r="A355" s="46" t="str">
        <f ca="1">IFERROR(__xludf.DUMMYFUNCTION("""COMPUTED_VALUE"""),"")</f>
        <v/>
      </c>
      <c r="B355" s="47"/>
      <c r="C355" s="48" t="str">
        <f ca="1">IFERROR(__xludf.DUMMYFUNCTION("""COMPUTED_VALUE"""),"")</f>
        <v/>
      </c>
      <c r="D355" s="48" t="str">
        <f ca="1">IFERROR(__xludf.DUMMYFUNCTION("""COMPUTED_VALUE"""),"")</f>
        <v/>
      </c>
      <c r="E355" s="49" t="str">
        <f ca="1">IFERROR(__xludf.DUMMYFUNCTION("""COMPUTED_VALUE"""),"")</f>
        <v/>
      </c>
      <c r="F355" s="48" t="str">
        <f ca="1">IFERROR(__xludf.DUMMYFUNCTION("""COMPUTED_VALUE"""),"")</f>
        <v/>
      </c>
      <c r="G355" s="50" t="str">
        <f ca="1">IFERROR(__xludf.DUMMYFUNCTION("""COMPUTED_VALUE"""),"")</f>
        <v/>
      </c>
      <c r="H355" s="50" t="str">
        <f ca="1">IFERROR(__xludf.DUMMYFUNCTION("""COMPUTED_VALUE"""),"")</f>
        <v/>
      </c>
    </row>
    <row r="356" spans="1:8" ht="12.75">
      <c r="A356" s="46" t="str">
        <f ca="1">IFERROR(__xludf.DUMMYFUNCTION("""COMPUTED_VALUE"""),"")</f>
        <v/>
      </c>
      <c r="B356" s="47"/>
      <c r="C356" s="48" t="str">
        <f ca="1">IFERROR(__xludf.DUMMYFUNCTION("""COMPUTED_VALUE"""),"")</f>
        <v/>
      </c>
      <c r="D356" s="48" t="str">
        <f ca="1">IFERROR(__xludf.DUMMYFUNCTION("""COMPUTED_VALUE"""),"")</f>
        <v/>
      </c>
      <c r="E356" s="49" t="str">
        <f ca="1">IFERROR(__xludf.DUMMYFUNCTION("""COMPUTED_VALUE"""),"")</f>
        <v/>
      </c>
      <c r="F356" s="48" t="str">
        <f ca="1">IFERROR(__xludf.DUMMYFUNCTION("""COMPUTED_VALUE"""),"")</f>
        <v/>
      </c>
      <c r="G356" s="50" t="str">
        <f ca="1">IFERROR(__xludf.DUMMYFUNCTION("""COMPUTED_VALUE"""),"")</f>
        <v/>
      </c>
      <c r="H356" s="50" t="str">
        <f ca="1">IFERROR(__xludf.DUMMYFUNCTION("""COMPUTED_VALUE"""),"")</f>
        <v/>
      </c>
    </row>
    <row r="357" spans="1:8" ht="12.75">
      <c r="A357" s="46" t="str">
        <f ca="1">IFERROR(__xludf.DUMMYFUNCTION("""COMPUTED_VALUE"""),"")</f>
        <v/>
      </c>
      <c r="B357" s="47"/>
      <c r="C357" s="48" t="str">
        <f ca="1">IFERROR(__xludf.DUMMYFUNCTION("""COMPUTED_VALUE"""),"")</f>
        <v/>
      </c>
      <c r="D357" s="48" t="str">
        <f ca="1">IFERROR(__xludf.DUMMYFUNCTION("""COMPUTED_VALUE"""),"")</f>
        <v/>
      </c>
      <c r="E357" s="49" t="str">
        <f ca="1">IFERROR(__xludf.DUMMYFUNCTION("""COMPUTED_VALUE"""),"")</f>
        <v/>
      </c>
      <c r="F357" s="48" t="str">
        <f ca="1">IFERROR(__xludf.DUMMYFUNCTION("""COMPUTED_VALUE"""),"")</f>
        <v/>
      </c>
      <c r="G357" s="50" t="str">
        <f ca="1">IFERROR(__xludf.DUMMYFUNCTION("""COMPUTED_VALUE"""),"")</f>
        <v/>
      </c>
      <c r="H357" s="50" t="str">
        <f ca="1">IFERROR(__xludf.DUMMYFUNCTION("""COMPUTED_VALUE"""),"")</f>
        <v/>
      </c>
    </row>
    <row r="358" spans="1:8" ht="12.75">
      <c r="A358" s="46" t="str">
        <f ca="1">IFERROR(__xludf.DUMMYFUNCTION("""COMPUTED_VALUE"""),"")</f>
        <v/>
      </c>
      <c r="B358" s="47"/>
      <c r="C358" s="48" t="str">
        <f ca="1">IFERROR(__xludf.DUMMYFUNCTION("""COMPUTED_VALUE"""),"")</f>
        <v/>
      </c>
      <c r="D358" s="48" t="str">
        <f ca="1">IFERROR(__xludf.DUMMYFUNCTION("""COMPUTED_VALUE"""),"")</f>
        <v/>
      </c>
      <c r="E358" s="49" t="str">
        <f ca="1">IFERROR(__xludf.DUMMYFUNCTION("""COMPUTED_VALUE"""),"")</f>
        <v/>
      </c>
      <c r="F358" s="48" t="str">
        <f ca="1">IFERROR(__xludf.DUMMYFUNCTION("""COMPUTED_VALUE"""),"")</f>
        <v/>
      </c>
      <c r="G358" s="50" t="str">
        <f ca="1">IFERROR(__xludf.DUMMYFUNCTION("""COMPUTED_VALUE"""),"")</f>
        <v/>
      </c>
      <c r="H358" s="50" t="str">
        <f ca="1">IFERROR(__xludf.DUMMYFUNCTION("""COMPUTED_VALUE"""),"")</f>
        <v/>
      </c>
    </row>
    <row r="359" spans="1:8" ht="12.75">
      <c r="A359" s="46" t="str">
        <f ca="1">IFERROR(__xludf.DUMMYFUNCTION("""COMPUTED_VALUE"""),"")</f>
        <v/>
      </c>
      <c r="B359" s="47"/>
      <c r="C359" s="48" t="str">
        <f ca="1">IFERROR(__xludf.DUMMYFUNCTION("""COMPUTED_VALUE"""),"")</f>
        <v/>
      </c>
      <c r="D359" s="48" t="str">
        <f ca="1">IFERROR(__xludf.DUMMYFUNCTION("""COMPUTED_VALUE"""),"")</f>
        <v/>
      </c>
      <c r="E359" s="49" t="str">
        <f ca="1">IFERROR(__xludf.DUMMYFUNCTION("""COMPUTED_VALUE"""),"")</f>
        <v/>
      </c>
      <c r="F359" s="48" t="str">
        <f ca="1">IFERROR(__xludf.DUMMYFUNCTION("""COMPUTED_VALUE"""),"")</f>
        <v/>
      </c>
      <c r="G359" s="50" t="str">
        <f ca="1">IFERROR(__xludf.DUMMYFUNCTION("""COMPUTED_VALUE"""),"")</f>
        <v/>
      </c>
      <c r="H359" s="50" t="str">
        <f ca="1">IFERROR(__xludf.DUMMYFUNCTION("""COMPUTED_VALUE"""),"")</f>
        <v/>
      </c>
    </row>
    <row r="360" spans="1:8" ht="12.75">
      <c r="A360" s="46" t="str">
        <f ca="1">IFERROR(__xludf.DUMMYFUNCTION("""COMPUTED_VALUE"""),"")</f>
        <v/>
      </c>
      <c r="B360" s="47"/>
      <c r="C360" s="48" t="str">
        <f ca="1">IFERROR(__xludf.DUMMYFUNCTION("""COMPUTED_VALUE"""),"")</f>
        <v/>
      </c>
      <c r="D360" s="48" t="str">
        <f ca="1">IFERROR(__xludf.DUMMYFUNCTION("""COMPUTED_VALUE"""),"")</f>
        <v/>
      </c>
      <c r="E360" s="49" t="str">
        <f ca="1">IFERROR(__xludf.DUMMYFUNCTION("""COMPUTED_VALUE"""),"")</f>
        <v/>
      </c>
      <c r="F360" s="48" t="str">
        <f ca="1">IFERROR(__xludf.DUMMYFUNCTION("""COMPUTED_VALUE"""),"")</f>
        <v/>
      </c>
      <c r="G360" s="50" t="str">
        <f ca="1">IFERROR(__xludf.DUMMYFUNCTION("""COMPUTED_VALUE"""),"")</f>
        <v/>
      </c>
      <c r="H360" s="50" t="str">
        <f ca="1">IFERROR(__xludf.DUMMYFUNCTION("""COMPUTED_VALUE"""),"")</f>
        <v/>
      </c>
    </row>
    <row r="361" spans="1:8" ht="12.75">
      <c r="A361" s="46" t="str">
        <f ca="1">IFERROR(__xludf.DUMMYFUNCTION("""COMPUTED_VALUE"""),"")</f>
        <v/>
      </c>
      <c r="B361" s="47"/>
      <c r="C361" s="48" t="str">
        <f ca="1">IFERROR(__xludf.DUMMYFUNCTION("""COMPUTED_VALUE"""),"")</f>
        <v/>
      </c>
      <c r="D361" s="48" t="str">
        <f ca="1">IFERROR(__xludf.DUMMYFUNCTION("""COMPUTED_VALUE"""),"")</f>
        <v/>
      </c>
      <c r="E361" s="49" t="str">
        <f ca="1">IFERROR(__xludf.DUMMYFUNCTION("""COMPUTED_VALUE"""),"")</f>
        <v/>
      </c>
      <c r="F361" s="48" t="str">
        <f ca="1">IFERROR(__xludf.DUMMYFUNCTION("""COMPUTED_VALUE"""),"")</f>
        <v/>
      </c>
      <c r="G361" s="50" t="str">
        <f ca="1">IFERROR(__xludf.DUMMYFUNCTION("""COMPUTED_VALUE"""),"")</f>
        <v/>
      </c>
      <c r="H361" s="50" t="str">
        <f ca="1">IFERROR(__xludf.DUMMYFUNCTION("""COMPUTED_VALUE"""),"")</f>
        <v/>
      </c>
    </row>
    <row r="362" spans="1:8" ht="12.75">
      <c r="A362" s="46" t="str">
        <f ca="1">IFERROR(__xludf.DUMMYFUNCTION("""COMPUTED_VALUE"""),"")</f>
        <v/>
      </c>
      <c r="B362" s="47"/>
      <c r="C362" s="48" t="str">
        <f ca="1">IFERROR(__xludf.DUMMYFUNCTION("""COMPUTED_VALUE"""),"")</f>
        <v/>
      </c>
      <c r="D362" s="48" t="str">
        <f ca="1">IFERROR(__xludf.DUMMYFUNCTION("""COMPUTED_VALUE"""),"")</f>
        <v/>
      </c>
      <c r="E362" s="49" t="str">
        <f ca="1">IFERROR(__xludf.DUMMYFUNCTION("""COMPUTED_VALUE"""),"")</f>
        <v/>
      </c>
      <c r="F362" s="48" t="str">
        <f ca="1">IFERROR(__xludf.DUMMYFUNCTION("""COMPUTED_VALUE"""),"")</f>
        <v/>
      </c>
      <c r="G362" s="50" t="str">
        <f ca="1">IFERROR(__xludf.DUMMYFUNCTION("""COMPUTED_VALUE"""),"")</f>
        <v/>
      </c>
      <c r="H362" s="50" t="str">
        <f ca="1">IFERROR(__xludf.DUMMYFUNCTION("""COMPUTED_VALUE"""),"")</f>
        <v/>
      </c>
    </row>
    <row r="363" spans="1:8" ht="12.75">
      <c r="A363" s="46" t="str">
        <f ca="1">IFERROR(__xludf.DUMMYFUNCTION("""COMPUTED_VALUE"""),"")</f>
        <v/>
      </c>
      <c r="B363" s="47"/>
      <c r="C363" s="48" t="str">
        <f ca="1">IFERROR(__xludf.DUMMYFUNCTION("""COMPUTED_VALUE"""),"")</f>
        <v/>
      </c>
      <c r="D363" s="48" t="str">
        <f ca="1">IFERROR(__xludf.DUMMYFUNCTION("""COMPUTED_VALUE"""),"")</f>
        <v/>
      </c>
      <c r="E363" s="49" t="str">
        <f ca="1">IFERROR(__xludf.DUMMYFUNCTION("""COMPUTED_VALUE"""),"")</f>
        <v/>
      </c>
      <c r="F363" s="48" t="str">
        <f ca="1">IFERROR(__xludf.DUMMYFUNCTION("""COMPUTED_VALUE"""),"")</f>
        <v/>
      </c>
      <c r="G363" s="50" t="str">
        <f ca="1">IFERROR(__xludf.DUMMYFUNCTION("""COMPUTED_VALUE"""),"")</f>
        <v/>
      </c>
      <c r="H363" s="50" t="str">
        <f ca="1">IFERROR(__xludf.DUMMYFUNCTION("""COMPUTED_VALUE"""),"")</f>
        <v/>
      </c>
    </row>
    <row r="364" spans="1:8" ht="12.75">
      <c r="A364" s="46" t="str">
        <f ca="1">IFERROR(__xludf.DUMMYFUNCTION("""COMPUTED_VALUE"""),"")</f>
        <v/>
      </c>
      <c r="B364" s="47"/>
      <c r="C364" s="48" t="str">
        <f ca="1">IFERROR(__xludf.DUMMYFUNCTION("""COMPUTED_VALUE"""),"")</f>
        <v/>
      </c>
      <c r="D364" s="48" t="str">
        <f ca="1">IFERROR(__xludf.DUMMYFUNCTION("""COMPUTED_VALUE"""),"")</f>
        <v/>
      </c>
      <c r="E364" s="49" t="str">
        <f ca="1">IFERROR(__xludf.DUMMYFUNCTION("""COMPUTED_VALUE"""),"")</f>
        <v/>
      </c>
      <c r="F364" s="48" t="str">
        <f ca="1">IFERROR(__xludf.DUMMYFUNCTION("""COMPUTED_VALUE"""),"")</f>
        <v/>
      </c>
      <c r="G364" s="50" t="str">
        <f ca="1">IFERROR(__xludf.DUMMYFUNCTION("""COMPUTED_VALUE"""),"")</f>
        <v/>
      </c>
      <c r="H364" s="50" t="str">
        <f ca="1">IFERROR(__xludf.DUMMYFUNCTION("""COMPUTED_VALUE"""),"")</f>
        <v/>
      </c>
    </row>
    <row r="365" spans="1:8" ht="12.75">
      <c r="A365" s="46"/>
      <c r="B365" s="47"/>
      <c r="C365" s="48"/>
      <c r="D365" s="48"/>
      <c r="E365" s="49"/>
      <c r="F365" s="48"/>
      <c r="G365" s="50"/>
      <c r="H365" s="50"/>
    </row>
    <row r="366" spans="1:8" ht="12.75">
      <c r="A366" s="46"/>
      <c r="B366" s="47"/>
      <c r="C366" s="48"/>
      <c r="D366" s="48"/>
      <c r="E366" s="49"/>
      <c r="F366" s="48"/>
      <c r="G366" s="50"/>
      <c r="H366" s="50"/>
    </row>
    <row r="367" spans="1:8" ht="12.75">
      <c r="A367" s="46"/>
      <c r="B367" s="47"/>
      <c r="C367" s="48"/>
      <c r="D367" s="48"/>
      <c r="E367" s="49"/>
      <c r="F367" s="48"/>
      <c r="G367" s="50"/>
      <c r="H367" s="50"/>
    </row>
    <row r="368" spans="1:8" ht="12.75">
      <c r="A368" s="46"/>
      <c r="B368" s="47"/>
      <c r="C368" s="48"/>
      <c r="D368" s="48"/>
      <c r="E368" s="49"/>
      <c r="F368" s="48"/>
      <c r="G368" s="50"/>
      <c r="H368" s="50"/>
    </row>
    <row r="369" spans="1:8" ht="12.75">
      <c r="A369" s="46"/>
      <c r="B369" s="47"/>
      <c r="C369" s="48"/>
      <c r="D369" s="48"/>
      <c r="E369" s="49"/>
      <c r="F369" s="48"/>
      <c r="G369" s="50"/>
      <c r="H369" s="50"/>
    </row>
    <row r="370" spans="1:8" ht="12.75">
      <c r="A370" s="46"/>
      <c r="B370" s="47"/>
      <c r="C370" s="48"/>
      <c r="D370" s="48"/>
      <c r="E370" s="49"/>
      <c r="F370" s="48"/>
      <c r="G370" s="50"/>
      <c r="H370" s="50"/>
    </row>
    <row r="371" spans="1:8" ht="12.75">
      <c r="A371" s="46"/>
      <c r="B371" s="47"/>
      <c r="C371" s="48"/>
      <c r="D371" s="48"/>
      <c r="E371" s="49"/>
      <c r="F371" s="48"/>
      <c r="G371" s="50"/>
      <c r="H371" s="50"/>
    </row>
    <row r="372" spans="1:8" ht="12.75">
      <c r="A372" s="46"/>
      <c r="B372" s="47"/>
      <c r="C372" s="48"/>
      <c r="D372" s="48"/>
      <c r="E372" s="49"/>
      <c r="F372" s="48"/>
      <c r="G372" s="50"/>
      <c r="H372" s="50"/>
    </row>
    <row r="373" spans="1:8" ht="12.75">
      <c r="A373" s="46"/>
      <c r="B373" s="47"/>
      <c r="C373" s="48"/>
      <c r="D373" s="48"/>
      <c r="E373" s="49"/>
      <c r="F373" s="48"/>
      <c r="G373" s="50"/>
      <c r="H373" s="50"/>
    </row>
    <row r="374" spans="1:8" ht="12.75">
      <c r="A374" s="46"/>
      <c r="B374" s="47"/>
      <c r="C374" s="48"/>
      <c r="D374" s="48"/>
      <c r="E374" s="49"/>
      <c r="F374" s="48"/>
      <c r="G374" s="50"/>
      <c r="H374" s="50"/>
    </row>
    <row r="375" spans="1:8" ht="12.75">
      <c r="A375" s="46"/>
      <c r="B375" s="47"/>
      <c r="C375" s="48"/>
      <c r="D375" s="48"/>
      <c r="E375" s="49"/>
      <c r="F375" s="48"/>
      <c r="G375" s="50"/>
      <c r="H375" s="50"/>
    </row>
    <row r="376" spans="1:8" ht="12.75">
      <c r="A376" s="46"/>
      <c r="B376" s="47"/>
      <c r="C376" s="48"/>
      <c r="D376" s="48"/>
      <c r="E376" s="49"/>
      <c r="F376" s="48"/>
      <c r="G376" s="50"/>
      <c r="H376" s="50"/>
    </row>
    <row r="377" spans="1:8" ht="12.75">
      <c r="A377" s="46"/>
      <c r="B377" s="47"/>
      <c r="C377" s="48"/>
      <c r="D377" s="48"/>
      <c r="E377" s="49"/>
      <c r="F377" s="48"/>
      <c r="G377" s="50"/>
      <c r="H377" s="50"/>
    </row>
    <row r="378" spans="1:8" ht="12.75">
      <c r="A378" s="46"/>
      <c r="B378" s="47"/>
      <c r="C378" s="48"/>
      <c r="D378" s="48"/>
      <c r="E378" s="49"/>
      <c r="F378" s="48"/>
      <c r="G378" s="50"/>
      <c r="H378" s="50"/>
    </row>
    <row r="379" spans="1:8" ht="12.75">
      <c r="A379" s="46"/>
      <c r="B379" s="47"/>
      <c r="C379" s="48"/>
      <c r="D379" s="48"/>
      <c r="E379" s="49"/>
      <c r="F379" s="48"/>
      <c r="G379" s="50"/>
      <c r="H379" s="50"/>
    </row>
    <row r="380" spans="1:8" ht="12.75">
      <c r="A380" s="46"/>
      <c r="B380" s="47"/>
      <c r="C380" s="48"/>
      <c r="D380" s="48"/>
      <c r="E380" s="49"/>
      <c r="F380" s="48"/>
      <c r="G380" s="50"/>
      <c r="H380" s="50"/>
    </row>
    <row r="381" spans="1:8" ht="12.75">
      <c r="A381" s="46"/>
      <c r="B381" s="47"/>
      <c r="C381" s="48"/>
      <c r="D381" s="48"/>
      <c r="E381" s="49"/>
      <c r="F381" s="48"/>
      <c r="G381" s="50"/>
      <c r="H381" s="50"/>
    </row>
    <row r="382" spans="1:8" ht="12.75">
      <c r="A382" s="46"/>
      <c r="B382" s="47"/>
      <c r="C382" s="48"/>
      <c r="D382" s="48"/>
      <c r="E382" s="49"/>
      <c r="F382" s="48"/>
      <c r="G382" s="50"/>
      <c r="H382" s="50"/>
    </row>
    <row r="383" spans="1:8" ht="12.75">
      <c r="A383" s="46"/>
      <c r="B383" s="47"/>
      <c r="C383" s="48"/>
      <c r="D383" s="48"/>
      <c r="E383" s="49"/>
      <c r="F383" s="48"/>
      <c r="G383" s="50"/>
      <c r="H383" s="50"/>
    </row>
    <row r="384" spans="1:8" ht="12.75">
      <c r="A384" s="46"/>
      <c r="B384" s="47"/>
      <c r="C384" s="48"/>
      <c r="D384" s="48"/>
      <c r="E384" s="49"/>
      <c r="F384" s="48"/>
      <c r="G384" s="50"/>
      <c r="H384" s="50"/>
    </row>
    <row r="385" spans="1:8" ht="12.75">
      <c r="A385" s="46"/>
      <c r="B385" s="47"/>
      <c r="C385" s="48"/>
      <c r="D385" s="48"/>
      <c r="E385" s="49"/>
      <c r="F385" s="48"/>
      <c r="G385" s="50"/>
      <c r="H385" s="50"/>
    </row>
    <row r="386" spans="1:8" ht="12.75">
      <c r="A386" s="46"/>
      <c r="B386" s="47"/>
      <c r="C386" s="48"/>
      <c r="D386" s="48"/>
      <c r="E386" s="49"/>
      <c r="F386" s="48"/>
      <c r="G386" s="50"/>
      <c r="H386" s="50"/>
    </row>
    <row r="387" spans="1:8" ht="12.75">
      <c r="A387" s="46"/>
      <c r="B387" s="47"/>
      <c r="C387" s="48"/>
      <c r="D387" s="48"/>
      <c r="E387" s="49"/>
      <c r="F387" s="48"/>
      <c r="G387" s="50"/>
      <c r="H387" s="50"/>
    </row>
    <row r="388" spans="1:8" ht="12.75">
      <c r="A388" s="46"/>
      <c r="B388" s="47"/>
      <c r="C388" s="48"/>
      <c r="D388" s="48"/>
      <c r="E388" s="49"/>
      <c r="F388" s="48"/>
      <c r="G388" s="50"/>
      <c r="H388" s="50"/>
    </row>
    <row r="389" spans="1:8" ht="12.75">
      <c r="A389" s="46"/>
      <c r="B389" s="47"/>
      <c r="C389" s="48"/>
      <c r="D389" s="48"/>
      <c r="E389" s="49"/>
      <c r="F389" s="48"/>
      <c r="G389" s="50"/>
      <c r="H389" s="50"/>
    </row>
    <row r="390" spans="1:8" ht="12.75">
      <c r="A390" s="46"/>
      <c r="B390" s="47"/>
      <c r="C390" s="48"/>
      <c r="D390" s="48"/>
      <c r="E390" s="49"/>
      <c r="F390" s="48"/>
      <c r="G390" s="50"/>
      <c r="H390" s="50"/>
    </row>
    <row r="391" spans="1:8" ht="12.75">
      <c r="A391" s="46"/>
      <c r="B391" s="47"/>
      <c r="C391" s="48"/>
      <c r="D391" s="48"/>
      <c r="E391" s="49"/>
      <c r="F391" s="48"/>
      <c r="G391" s="50"/>
      <c r="H391" s="50"/>
    </row>
    <row r="392" spans="1:8" ht="12.75">
      <c r="A392" s="46"/>
      <c r="B392" s="47"/>
      <c r="C392" s="48"/>
      <c r="D392" s="48"/>
      <c r="E392" s="49"/>
      <c r="F392" s="48"/>
      <c r="G392" s="50"/>
      <c r="H392" s="50"/>
    </row>
    <row r="393" spans="1:8" ht="12.75">
      <c r="A393" s="46"/>
      <c r="B393" s="47"/>
      <c r="C393" s="48"/>
      <c r="D393" s="48"/>
      <c r="E393" s="49"/>
      <c r="F393" s="48"/>
      <c r="G393" s="50"/>
      <c r="H393" s="50"/>
    </row>
    <row r="394" spans="1:8" ht="12.75">
      <c r="A394" s="46"/>
      <c r="B394" s="47"/>
      <c r="C394" s="48"/>
      <c r="D394" s="48"/>
      <c r="E394" s="49"/>
      <c r="F394" s="48"/>
      <c r="G394" s="50"/>
      <c r="H394" s="50"/>
    </row>
    <row r="395" spans="1:8" ht="12.75">
      <c r="A395" s="46"/>
      <c r="B395" s="47"/>
      <c r="C395" s="48"/>
      <c r="D395" s="48"/>
      <c r="E395" s="49"/>
      <c r="F395" s="48"/>
      <c r="G395" s="50"/>
      <c r="H395" s="50"/>
    </row>
    <row r="396" spans="1:8" ht="12.75">
      <c r="A396" s="46"/>
      <c r="B396" s="47"/>
      <c r="C396" s="48"/>
      <c r="D396" s="48"/>
      <c r="E396" s="49"/>
      <c r="F396" s="48"/>
      <c r="G396" s="50"/>
      <c r="H396" s="50"/>
    </row>
    <row r="397" spans="1:8" ht="12.75">
      <c r="A397" s="46"/>
      <c r="B397" s="47"/>
      <c r="C397" s="48"/>
      <c r="D397" s="48"/>
      <c r="E397" s="49"/>
      <c r="F397" s="48"/>
      <c r="G397" s="50"/>
      <c r="H397" s="50"/>
    </row>
    <row r="398" spans="1:8" ht="12.75">
      <c r="A398" s="46"/>
      <c r="B398" s="47"/>
      <c r="C398" s="48"/>
      <c r="D398" s="48"/>
      <c r="E398" s="49"/>
      <c r="F398" s="48"/>
      <c r="G398" s="50"/>
      <c r="H398" s="50"/>
    </row>
    <row r="399" spans="1:8" ht="12.75">
      <c r="A399" s="46"/>
      <c r="B399" s="47"/>
      <c r="C399" s="48"/>
      <c r="D399" s="48"/>
      <c r="E399" s="49"/>
      <c r="F399" s="48"/>
      <c r="G399" s="50"/>
      <c r="H399" s="50"/>
    </row>
    <row r="400" spans="1:8" ht="12.75">
      <c r="A400" s="46"/>
      <c r="B400" s="47"/>
      <c r="C400" s="48"/>
      <c r="D400" s="48"/>
      <c r="E400" s="49"/>
      <c r="F400" s="48"/>
      <c r="G400" s="50"/>
      <c r="H400" s="50"/>
    </row>
    <row r="401" spans="1:8" ht="12.75">
      <c r="A401" s="46"/>
      <c r="B401" s="47"/>
      <c r="C401" s="48"/>
      <c r="D401" s="48"/>
      <c r="E401" s="49"/>
      <c r="F401" s="48"/>
      <c r="G401" s="50"/>
      <c r="H401" s="50"/>
    </row>
    <row r="402" spans="1:8" ht="12.75">
      <c r="A402" s="46"/>
      <c r="B402" s="47"/>
      <c r="C402" s="48"/>
      <c r="D402" s="48"/>
      <c r="E402" s="49"/>
      <c r="F402" s="48"/>
      <c r="G402" s="50"/>
      <c r="H402" s="50"/>
    </row>
    <row r="403" spans="1:8" ht="12.75">
      <c r="A403" s="46"/>
      <c r="B403" s="47"/>
      <c r="C403" s="48"/>
      <c r="D403" s="48"/>
      <c r="E403" s="49"/>
      <c r="F403" s="48"/>
      <c r="G403" s="50"/>
      <c r="H403" s="50"/>
    </row>
    <row r="404" spans="1:8" ht="12.75">
      <c r="A404" s="46"/>
      <c r="B404" s="47"/>
      <c r="C404" s="48"/>
      <c r="D404" s="48"/>
      <c r="E404" s="49"/>
      <c r="F404" s="48"/>
      <c r="G404" s="50"/>
      <c r="H404" s="50"/>
    </row>
    <row r="405" spans="1:8" ht="12.75">
      <c r="A405" s="46"/>
      <c r="B405" s="47"/>
      <c r="C405" s="48"/>
      <c r="D405" s="48"/>
      <c r="E405" s="49"/>
      <c r="F405" s="48"/>
      <c r="G405" s="50"/>
      <c r="H405" s="50"/>
    </row>
    <row r="406" spans="1:8" ht="12.75">
      <c r="A406" s="46"/>
      <c r="B406" s="47"/>
      <c r="C406" s="48"/>
      <c r="D406" s="48"/>
      <c r="E406" s="49"/>
      <c r="F406" s="48"/>
      <c r="G406" s="50"/>
      <c r="H406" s="50"/>
    </row>
    <row r="407" spans="1:8" ht="12.75">
      <c r="A407" s="46"/>
      <c r="B407" s="47"/>
      <c r="C407" s="48"/>
      <c r="D407" s="48"/>
      <c r="E407" s="49"/>
      <c r="F407" s="48"/>
      <c r="G407" s="50"/>
      <c r="H407" s="50"/>
    </row>
    <row r="408" spans="1:8" ht="12.75">
      <c r="A408" s="46"/>
      <c r="B408" s="47"/>
      <c r="C408" s="48"/>
      <c r="D408" s="48"/>
      <c r="E408" s="49"/>
      <c r="F408" s="48"/>
      <c r="G408" s="50"/>
      <c r="H408" s="50"/>
    </row>
    <row r="409" spans="1:8" ht="12.75">
      <c r="A409" s="46"/>
      <c r="B409" s="47"/>
      <c r="C409" s="48"/>
      <c r="D409" s="48"/>
      <c r="E409" s="49"/>
      <c r="F409" s="48"/>
      <c r="G409" s="50"/>
      <c r="H409" s="50"/>
    </row>
    <row r="410" spans="1:8" ht="12.75">
      <c r="A410" s="46"/>
      <c r="B410" s="47"/>
      <c r="C410" s="48"/>
      <c r="D410" s="48"/>
      <c r="E410" s="49"/>
      <c r="F410" s="48"/>
      <c r="G410" s="50"/>
      <c r="H410" s="50"/>
    </row>
    <row r="411" spans="1:8" ht="12.75">
      <c r="A411" s="46"/>
      <c r="B411" s="47"/>
      <c r="C411" s="48"/>
      <c r="D411" s="48"/>
      <c r="E411" s="49"/>
      <c r="F411" s="48"/>
      <c r="G411" s="50"/>
      <c r="H411" s="50"/>
    </row>
    <row r="412" spans="1:8" ht="12.75">
      <c r="A412" s="46"/>
      <c r="B412" s="47"/>
      <c r="C412" s="48"/>
      <c r="D412" s="48"/>
      <c r="E412" s="49"/>
      <c r="F412" s="48"/>
      <c r="G412" s="50"/>
      <c r="H412" s="50"/>
    </row>
    <row r="413" spans="1:8" ht="12.75">
      <c r="A413" s="46"/>
      <c r="B413" s="47"/>
      <c r="C413" s="48"/>
      <c r="D413" s="48"/>
      <c r="E413" s="49"/>
      <c r="F413" s="48"/>
      <c r="G413" s="50"/>
      <c r="H413" s="50"/>
    </row>
    <row r="414" spans="1:8" ht="12.75">
      <c r="A414" s="46"/>
      <c r="B414" s="47"/>
      <c r="C414" s="48"/>
      <c r="D414" s="48"/>
      <c r="E414" s="49"/>
      <c r="F414" s="48"/>
      <c r="G414" s="50"/>
      <c r="H414" s="50"/>
    </row>
    <row r="415" spans="1:8" ht="12.75">
      <c r="A415" s="46"/>
      <c r="B415" s="47"/>
      <c r="C415" s="48"/>
      <c r="D415" s="48"/>
      <c r="E415" s="49"/>
      <c r="F415" s="48"/>
      <c r="G415" s="50"/>
      <c r="H415" s="50"/>
    </row>
    <row r="416" spans="1:8" ht="12.75">
      <c r="A416" s="46"/>
      <c r="B416" s="47"/>
      <c r="C416" s="48"/>
      <c r="D416" s="48"/>
      <c r="E416" s="49"/>
      <c r="F416" s="48"/>
      <c r="G416" s="50"/>
      <c r="H416" s="50"/>
    </row>
    <row r="417" spans="1:8" ht="12.75">
      <c r="A417" s="46"/>
      <c r="B417" s="47"/>
      <c r="C417" s="48"/>
      <c r="D417" s="48"/>
      <c r="E417" s="49"/>
      <c r="F417" s="48"/>
      <c r="G417" s="50"/>
      <c r="H417" s="50"/>
    </row>
    <row r="418" spans="1:8" ht="12.75">
      <c r="A418" s="46"/>
      <c r="B418" s="47"/>
      <c r="C418" s="48"/>
      <c r="D418" s="48"/>
      <c r="E418" s="49"/>
      <c r="F418" s="48"/>
      <c r="G418" s="50"/>
      <c r="H418" s="50"/>
    </row>
    <row r="419" spans="1:8" ht="12.75">
      <c r="A419" s="46"/>
      <c r="B419" s="47"/>
      <c r="C419" s="48"/>
      <c r="D419" s="48"/>
      <c r="E419" s="49"/>
      <c r="F419" s="48"/>
      <c r="G419" s="50"/>
      <c r="H419" s="50"/>
    </row>
    <row r="420" spans="1:8" ht="12.75">
      <c r="A420" s="46"/>
      <c r="B420" s="47"/>
      <c r="C420" s="48"/>
      <c r="D420" s="48"/>
      <c r="E420" s="49"/>
      <c r="F420" s="48"/>
      <c r="G420" s="50"/>
      <c r="H420" s="50"/>
    </row>
    <row r="421" spans="1:8" ht="12.75">
      <c r="A421" s="46"/>
      <c r="B421" s="47"/>
      <c r="C421" s="48"/>
      <c r="D421" s="48"/>
      <c r="E421" s="49"/>
      <c r="F421" s="48"/>
      <c r="G421" s="50"/>
      <c r="H421" s="50"/>
    </row>
    <row r="422" spans="1:8" ht="12.75">
      <c r="A422" s="46"/>
      <c r="B422" s="47"/>
      <c r="C422" s="48"/>
      <c r="D422" s="48"/>
      <c r="E422" s="49"/>
      <c r="F422" s="48"/>
      <c r="G422" s="50"/>
      <c r="H422" s="50"/>
    </row>
    <row r="423" spans="1:8" ht="12.75">
      <c r="A423" s="46"/>
      <c r="B423" s="47"/>
      <c r="C423" s="48"/>
      <c r="D423" s="48"/>
      <c r="E423" s="49"/>
      <c r="F423" s="48"/>
      <c r="G423" s="50"/>
      <c r="H423" s="50"/>
    </row>
    <row r="424" spans="1:8" ht="12.75">
      <c r="A424" s="46"/>
      <c r="B424" s="47"/>
      <c r="C424" s="48"/>
      <c r="D424" s="48"/>
      <c r="E424" s="49"/>
      <c r="F424" s="48"/>
      <c r="G424" s="50"/>
      <c r="H424" s="50"/>
    </row>
    <row r="425" spans="1:8" ht="12.75">
      <c r="A425" s="46"/>
      <c r="B425" s="47"/>
      <c r="C425" s="48"/>
      <c r="D425" s="48"/>
      <c r="E425" s="49"/>
      <c r="F425" s="48"/>
      <c r="G425" s="50"/>
      <c r="H425" s="50"/>
    </row>
    <row r="426" spans="1:8" ht="12.75">
      <c r="A426" s="46"/>
      <c r="B426" s="47"/>
      <c r="C426" s="48"/>
      <c r="D426" s="48"/>
      <c r="E426" s="49"/>
      <c r="F426" s="48"/>
      <c r="G426" s="50"/>
      <c r="H426" s="50"/>
    </row>
    <row r="427" spans="1:8" ht="12.75">
      <c r="A427" s="46"/>
      <c r="B427" s="47"/>
      <c r="C427" s="48"/>
      <c r="D427" s="48"/>
      <c r="E427" s="49"/>
      <c r="F427" s="48"/>
      <c r="G427" s="50"/>
      <c r="H427" s="50"/>
    </row>
    <row r="428" spans="1:8" ht="12.75">
      <c r="A428" s="46"/>
      <c r="B428" s="47"/>
      <c r="C428" s="48"/>
      <c r="D428" s="48"/>
      <c r="E428" s="49"/>
      <c r="F428" s="48"/>
      <c r="G428" s="50"/>
      <c r="H428" s="50"/>
    </row>
    <row r="429" spans="1:8" ht="12.75">
      <c r="A429" s="46"/>
      <c r="B429" s="47"/>
      <c r="C429" s="48"/>
      <c r="D429" s="48"/>
      <c r="E429" s="49"/>
      <c r="F429" s="48"/>
      <c r="G429" s="50"/>
      <c r="H429" s="50"/>
    </row>
    <row r="430" spans="1:8" ht="12.75">
      <c r="A430" s="46"/>
      <c r="B430" s="47"/>
      <c r="C430" s="48"/>
      <c r="D430" s="48"/>
      <c r="E430" s="49"/>
      <c r="F430" s="48"/>
      <c r="G430" s="50"/>
      <c r="H430" s="50"/>
    </row>
    <row r="431" spans="1:8" ht="12.75">
      <c r="A431" s="46"/>
      <c r="B431" s="47"/>
      <c r="C431" s="48"/>
      <c r="D431" s="48"/>
      <c r="E431" s="49"/>
      <c r="F431" s="48"/>
      <c r="G431" s="50"/>
      <c r="H431" s="50"/>
    </row>
    <row r="432" spans="1:8" ht="12.75">
      <c r="A432" s="46"/>
      <c r="B432" s="47"/>
      <c r="C432" s="48"/>
      <c r="D432" s="48"/>
      <c r="E432" s="49"/>
      <c r="F432" s="48"/>
      <c r="G432" s="50"/>
      <c r="H432" s="50"/>
    </row>
    <row r="433" spans="1:8" ht="12.75">
      <c r="A433" s="46"/>
      <c r="B433" s="47"/>
      <c r="C433" s="48"/>
      <c r="D433" s="48"/>
      <c r="E433" s="49"/>
      <c r="F433" s="48"/>
      <c r="G433" s="50"/>
      <c r="H433" s="50"/>
    </row>
    <row r="434" spans="1:8" ht="12.75">
      <c r="A434" s="46"/>
      <c r="B434" s="47"/>
      <c r="C434" s="48"/>
      <c r="D434" s="48"/>
      <c r="E434" s="49"/>
      <c r="F434" s="48"/>
      <c r="G434" s="50"/>
      <c r="H434" s="50"/>
    </row>
    <row r="435" spans="1:8" ht="12.75">
      <c r="A435" s="46"/>
      <c r="B435" s="47"/>
      <c r="C435" s="48"/>
      <c r="D435" s="48"/>
      <c r="E435" s="49"/>
      <c r="F435" s="48"/>
      <c r="G435" s="50"/>
      <c r="H435" s="50"/>
    </row>
    <row r="436" spans="1:8" ht="12.75">
      <c r="A436" s="46"/>
      <c r="B436" s="47"/>
      <c r="C436" s="48"/>
      <c r="D436" s="48"/>
      <c r="E436" s="49"/>
      <c r="F436" s="48"/>
      <c r="G436" s="50"/>
      <c r="H436" s="50"/>
    </row>
    <row r="437" spans="1:8" ht="12.75">
      <c r="A437" s="46"/>
      <c r="B437" s="47"/>
      <c r="C437" s="48"/>
      <c r="D437" s="48"/>
      <c r="E437" s="49"/>
      <c r="F437" s="48"/>
      <c r="G437" s="50"/>
      <c r="H437" s="50"/>
    </row>
    <row r="438" spans="1:8" ht="12.75">
      <c r="A438" s="46"/>
      <c r="B438" s="47"/>
      <c r="C438" s="48"/>
      <c r="D438" s="48"/>
      <c r="E438" s="49"/>
      <c r="F438" s="48"/>
      <c r="G438" s="50"/>
      <c r="H438" s="50"/>
    </row>
    <row r="439" spans="1:8" ht="12.75">
      <c r="A439" s="46"/>
      <c r="B439" s="47"/>
      <c r="C439" s="48"/>
      <c r="D439" s="48"/>
      <c r="E439" s="49"/>
      <c r="F439" s="48"/>
      <c r="G439" s="50"/>
      <c r="H439" s="50"/>
    </row>
    <row r="440" spans="1:8" ht="12.75">
      <c r="A440" s="46"/>
      <c r="B440" s="47"/>
      <c r="C440" s="48"/>
      <c r="D440" s="48"/>
      <c r="E440" s="49"/>
      <c r="F440" s="48"/>
      <c r="G440" s="50"/>
      <c r="H440" s="50"/>
    </row>
    <row r="441" spans="1:8" ht="12.75">
      <c r="A441" s="46"/>
      <c r="B441" s="47"/>
      <c r="C441" s="48"/>
      <c r="D441" s="48"/>
      <c r="E441" s="49"/>
      <c r="F441" s="48"/>
      <c r="G441" s="50"/>
      <c r="H441" s="50"/>
    </row>
    <row r="442" spans="1:8" ht="12.75">
      <c r="A442" s="46"/>
      <c r="B442" s="47"/>
      <c r="C442" s="48"/>
      <c r="D442" s="48"/>
      <c r="E442" s="49"/>
      <c r="F442" s="48"/>
      <c r="G442" s="50"/>
      <c r="H442" s="50"/>
    </row>
    <row r="443" spans="1:8" ht="12.75">
      <c r="A443" s="46"/>
      <c r="B443" s="47"/>
      <c r="C443" s="48"/>
      <c r="D443" s="48"/>
      <c r="E443" s="49"/>
      <c r="F443" s="48"/>
      <c r="G443" s="50"/>
      <c r="H443" s="50"/>
    </row>
    <row r="444" spans="1:8" ht="12.75">
      <c r="A444" s="46"/>
      <c r="B444" s="47"/>
      <c r="C444" s="48"/>
      <c r="D444" s="48"/>
      <c r="E444" s="49"/>
      <c r="F444" s="48"/>
      <c r="G444" s="50"/>
      <c r="H444" s="50"/>
    </row>
    <row r="445" spans="1:8" ht="12.75">
      <c r="A445" s="46"/>
      <c r="B445" s="47"/>
      <c r="C445" s="48"/>
      <c r="D445" s="48"/>
      <c r="E445" s="49"/>
      <c r="F445" s="48"/>
      <c r="G445" s="50"/>
      <c r="H445" s="50"/>
    </row>
    <row r="446" spans="1:8" ht="12.75">
      <c r="A446" s="46"/>
      <c r="B446" s="47"/>
      <c r="C446" s="48"/>
      <c r="D446" s="48"/>
      <c r="E446" s="49"/>
      <c r="F446" s="48"/>
      <c r="G446" s="50"/>
      <c r="H446" s="50"/>
    </row>
    <row r="447" spans="1:8" ht="12.75">
      <c r="A447" s="46"/>
      <c r="B447" s="47"/>
      <c r="C447" s="48"/>
      <c r="D447" s="48"/>
      <c r="E447" s="49"/>
      <c r="F447" s="48"/>
      <c r="G447" s="50"/>
      <c r="H447" s="50"/>
    </row>
    <row r="448" spans="1:8" ht="12.75">
      <c r="A448" s="46"/>
      <c r="B448" s="47"/>
      <c r="C448" s="48"/>
      <c r="D448" s="48"/>
      <c r="E448" s="49"/>
      <c r="F448" s="48"/>
      <c r="G448" s="50"/>
      <c r="H448" s="50"/>
    </row>
    <row r="449" spans="1:8" ht="12.75">
      <c r="A449" s="46"/>
      <c r="B449" s="47"/>
      <c r="C449" s="48"/>
      <c r="D449" s="48"/>
      <c r="E449" s="49"/>
      <c r="F449" s="48"/>
      <c r="G449" s="50"/>
      <c r="H449" s="50"/>
    </row>
    <row r="450" spans="1:8" ht="12.75">
      <c r="A450" s="46"/>
      <c r="B450" s="47"/>
      <c r="C450" s="48"/>
      <c r="D450" s="48"/>
      <c r="E450" s="49"/>
      <c r="F450" s="48"/>
      <c r="G450" s="50"/>
      <c r="H450" s="50"/>
    </row>
    <row r="451" spans="1:8" ht="12.75">
      <c r="A451" s="36"/>
      <c r="B451" s="53"/>
      <c r="C451" s="54"/>
      <c r="D451" s="54"/>
      <c r="E451" s="55"/>
      <c r="F451" s="54"/>
      <c r="G451" s="38"/>
      <c r="H451" s="38"/>
    </row>
    <row r="452" spans="1:8" ht="12.75">
      <c r="A452" s="36"/>
      <c r="B452" s="53"/>
      <c r="C452" s="54"/>
      <c r="D452" s="54"/>
      <c r="E452" s="55"/>
      <c r="F452" s="54"/>
      <c r="G452" s="38"/>
      <c r="H452" s="38"/>
    </row>
    <row r="453" spans="1:8" ht="12.75">
      <c r="A453" s="36"/>
      <c r="B453" s="53"/>
      <c r="C453" s="54"/>
      <c r="D453" s="54"/>
      <c r="E453" s="55"/>
      <c r="F453" s="54"/>
      <c r="G453" s="38"/>
      <c r="H453" s="38"/>
    </row>
    <row r="454" spans="1:8" ht="12.75">
      <c r="A454" s="36"/>
      <c r="B454" s="53"/>
      <c r="C454" s="54"/>
      <c r="D454" s="54"/>
      <c r="E454" s="55"/>
      <c r="F454" s="54"/>
      <c r="G454" s="38"/>
      <c r="H454" s="38"/>
    </row>
    <row r="455" spans="1:8" ht="12.75">
      <c r="A455" s="36"/>
      <c r="B455" s="53"/>
      <c r="C455" s="54"/>
      <c r="D455" s="54"/>
      <c r="E455" s="55"/>
      <c r="F455" s="54"/>
      <c r="G455" s="38"/>
      <c r="H455" s="38"/>
    </row>
    <row r="456" spans="1:8" ht="12.75">
      <c r="A456" s="36"/>
      <c r="B456" s="53"/>
      <c r="C456" s="54"/>
      <c r="D456" s="54"/>
      <c r="E456" s="55"/>
      <c r="F456" s="54"/>
      <c r="G456" s="38"/>
      <c r="H456" s="38"/>
    </row>
    <row r="457" spans="1:8" ht="12.75">
      <c r="A457" s="36"/>
      <c r="B457" s="53"/>
      <c r="C457" s="54"/>
      <c r="D457" s="54"/>
      <c r="E457" s="55"/>
      <c r="F457" s="54"/>
      <c r="G457" s="38"/>
      <c r="H457" s="38"/>
    </row>
    <row r="458" spans="1:8" ht="12.75">
      <c r="A458" s="36"/>
      <c r="B458" s="53"/>
      <c r="C458" s="54"/>
      <c r="D458" s="54"/>
      <c r="E458" s="55"/>
      <c r="F458" s="54"/>
      <c r="G458" s="38"/>
      <c r="H458" s="38"/>
    </row>
    <row r="459" spans="1:8" ht="12.75">
      <c r="A459" s="36"/>
      <c r="B459" s="53"/>
      <c r="C459" s="54"/>
      <c r="D459" s="54"/>
      <c r="E459" s="55"/>
      <c r="F459" s="54"/>
      <c r="G459" s="38"/>
      <c r="H459" s="38"/>
    </row>
    <row r="460" spans="1:8" ht="12.75">
      <c r="A460" s="36"/>
      <c r="B460" s="53"/>
      <c r="C460" s="54"/>
      <c r="D460" s="54"/>
      <c r="E460" s="55"/>
      <c r="F460" s="54"/>
      <c r="G460" s="38"/>
      <c r="H460" s="38"/>
    </row>
    <row r="461" spans="1:8" ht="12.75">
      <c r="A461" s="36"/>
      <c r="B461" s="53"/>
      <c r="C461" s="54"/>
      <c r="D461" s="54"/>
      <c r="E461" s="55"/>
      <c r="F461" s="54"/>
      <c r="G461" s="38"/>
      <c r="H461" s="38"/>
    </row>
    <row r="462" spans="1:8" ht="12.75">
      <c r="A462" s="36"/>
      <c r="B462" s="53"/>
      <c r="C462" s="54"/>
      <c r="D462" s="54"/>
      <c r="E462" s="55"/>
      <c r="F462" s="54"/>
      <c r="G462" s="38"/>
      <c r="H462" s="38"/>
    </row>
    <row r="463" spans="1:8" ht="12.75">
      <c r="A463" s="36"/>
      <c r="B463" s="53"/>
      <c r="C463" s="54"/>
      <c r="D463" s="54"/>
      <c r="E463" s="55"/>
      <c r="F463" s="54"/>
      <c r="G463" s="38"/>
      <c r="H463" s="38"/>
    </row>
    <row r="464" spans="1:8" ht="12.75">
      <c r="A464" s="36"/>
      <c r="B464" s="53"/>
      <c r="C464" s="54"/>
      <c r="D464" s="54"/>
      <c r="E464" s="55"/>
      <c r="F464" s="54"/>
      <c r="G464" s="38"/>
      <c r="H464" s="38"/>
    </row>
    <row r="465" spans="1:8" ht="12.75">
      <c r="A465" s="36"/>
      <c r="B465" s="53"/>
      <c r="C465" s="54"/>
      <c r="D465" s="54"/>
      <c r="E465" s="55"/>
      <c r="F465" s="54"/>
      <c r="G465" s="38"/>
      <c r="H465" s="38"/>
    </row>
    <row r="466" spans="1:8" ht="12.75">
      <c r="A466" s="36"/>
      <c r="B466" s="53"/>
      <c r="C466" s="54"/>
      <c r="D466" s="54"/>
      <c r="E466" s="55"/>
      <c r="F466" s="54"/>
      <c r="G466" s="38"/>
      <c r="H466" s="38"/>
    </row>
    <row r="467" spans="1:8" ht="12.75">
      <c r="A467" s="36"/>
      <c r="B467" s="53"/>
      <c r="C467" s="54"/>
      <c r="D467" s="54"/>
      <c r="E467" s="55"/>
      <c r="F467" s="54"/>
      <c r="G467" s="38"/>
      <c r="H467" s="38"/>
    </row>
    <row r="468" spans="1:8" ht="12.75">
      <c r="A468" s="36"/>
      <c r="B468" s="53"/>
      <c r="C468" s="54"/>
      <c r="D468" s="54"/>
      <c r="E468" s="55"/>
      <c r="F468" s="54"/>
      <c r="G468" s="38"/>
      <c r="H468" s="38"/>
    </row>
    <row r="469" spans="1:8" ht="12.75">
      <c r="A469" s="36"/>
      <c r="B469" s="53"/>
      <c r="C469" s="54"/>
      <c r="D469" s="54"/>
      <c r="E469" s="55"/>
      <c r="F469" s="54"/>
      <c r="G469" s="38"/>
      <c r="H469" s="38"/>
    </row>
    <row r="470" spans="1:8" ht="12.75">
      <c r="A470" s="36"/>
      <c r="B470" s="53"/>
      <c r="C470" s="54"/>
      <c r="D470" s="54"/>
      <c r="E470" s="55"/>
      <c r="F470" s="54"/>
      <c r="G470" s="38"/>
      <c r="H470" s="38"/>
    </row>
    <row r="471" spans="1:8" ht="12.75">
      <c r="A471" s="36"/>
      <c r="B471" s="53"/>
      <c r="C471" s="54"/>
      <c r="D471" s="54"/>
      <c r="E471" s="55"/>
      <c r="F471" s="54"/>
      <c r="G471" s="38"/>
      <c r="H471" s="38"/>
    </row>
    <row r="472" spans="1:8" ht="12.75">
      <c r="A472" s="36"/>
      <c r="B472" s="53"/>
      <c r="C472" s="54"/>
      <c r="D472" s="54"/>
      <c r="E472" s="55"/>
      <c r="F472" s="54"/>
      <c r="G472" s="38"/>
      <c r="H472" s="38"/>
    </row>
    <row r="473" spans="1:8" ht="12.75">
      <c r="A473" s="36"/>
      <c r="B473" s="53"/>
      <c r="C473" s="54"/>
      <c r="D473" s="54"/>
      <c r="E473" s="55"/>
      <c r="F473" s="54"/>
      <c r="G473" s="38"/>
      <c r="H473" s="38"/>
    </row>
    <row r="474" spans="1:8" ht="12.75">
      <c r="A474" s="36"/>
      <c r="B474" s="53"/>
      <c r="C474" s="54"/>
      <c r="D474" s="54"/>
      <c r="E474" s="55"/>
      <c r="F474" s="54"/>
      <c r="G474" s="38"/>
      <c r="H474" s="38"/>
    </row>
    <row r="475" spans="1:8" ht="12.75">
      <c r="A475" s="36"/>
      <c r="B475" s="53"/>
      <c r="C475" s="54"/>
      <c r="D475" s="54"/>
      <c r="E475" s="55"/>
      <c r="F475" s="54"/>
      <c r="G475" s="38"/>
      <c r="H475" s="38"/>
    </row>
    <row r="476" spans="1:8" ht="12.75">
      <c r="A476" s="36"/>
      <c r="B476" s="53"/>
      <c r="C476" s="54"/>
      <c r="D476" s="54"/>
      <c r="E476" s="55"/>
      <c r="F476" s="54"/>
      <c r="G476" s="38"/>
      <c r="H476" s="38"/>
    </row>
    <row r="477" spans="1:8" ht="12.75">
      <c r="A477" s="36"/>
      <c r="B477" s="53"/>
      <c r="C477" s="54"/>
      <c r="D477" s="54"/>
      <c r="E477" s="55"/>
      <c r="F477" s="54"/>
      <c r="G477" s="38"/>
      <c r="H477" s="38"/>
    </row>
    <row r="478" spans="1:8" ht="12.75">
      <c r="A478" s="36"/>
      <c r="B478" s="53"/>
      <c r="C478" s="54"/>
      <c r="D478" s="54"/>
      <c r="E478" s="55"/>
      <c r="F478" s="54"/>
      <c r="G478" s="38"/>
      <c r="H478" s="38"/>
    </row>
    <row r="479" spans="1:8" ht="12.75">
      <c r="A479" s="36"/>
      <c r="B479" s="53"/>
      <c r="C479" s="54"/>
      <c r="D479" s="54"/>
      <c r="E479" s="55"/>
      <c r="F479" s="54"/>
      <c r="G479" s="38"/>
      <c r="H479" s="38"/>
    </row>
    <row r="480" spans="1:8" ht="12.75">
      <c r="A480" s="36"/>
      <c r="B480" s="53"/>
      <c r="C480" s="54"/>
      <c r="D480" s="54"/>
      <c r="E480" s="55"/>
      <c r="F480" s="54"/>
      <c r="G480" s="38"/>
      <c r="H480" s="38"/>
    </row>
    <row r="481" spans="1:8" ht="12.75">
      <c r="A481" s="36"/>
      <c r="B481" s="53"/>
      <c r="C481" s="54"/>
      <c r="D481" s="54"/>
      <c r="E481" s="55"/>
      <c r="F481" s="54"/>
      <c r="G481" s="38"/>
      <c r="H481" s="38"/>
    </row>
    <row r="482" spans="1:8" ht="12.75">
      <c r="A482" s="36"/>
      <c r="B482" s="53"/>
      <c r="C482" s="54"/>
      <c r="D482" s="54"/>
      <c r="E482" s="55"/>
      <c r="F482" s="54"/>
      <c r="G482" s="38"/>
      <c r="H482" s="38"/>
    </row>
    <row r="483" spans="1:8" ht="12.75">
      <c r="A483" s="36"/>
      <c r="B483" s="53"/>
      <c r="C483" s="54"/>
      <c r="D483" s="54"/>
      <c r="E483" s="55"/>
      <c r="F483" s="54"/>
      <c r="G483" s="38"/>
      <c r="H483" s="38"/>
    </row>
    <row r="484" spans="1:8" ht="12.75">
      <c r="A484" s="36"/>
      <c r="B484" s="53"/>
      <c r="C484" s="54"/>
      <c r="D484" s="54"/>
      <c r="E484" s="55"/>
      <c r="F484" s="54"/>
      <c r="G484" s="38"/>
      <c r="H484" s="38"/>
    </row>
    <row r="485" spans="1:8" ht="12.75">
      <c r="A485" s="36"/>
      <c r="B485" s="53"/>
      <c r="C485" s="54"/>
      <c r="D485" s="54"/>
      <c r="E485" s="55"/>
      <c r="F485" s="54"/>
      <c r="G485" s="38"/>
      <c r="H485" s="38"/>
    </row>
    <row r="486" spans="1:8" ht="12.75">
      <c r="A486" s="36"/>
      <c r="B486" s="53"/>
      <c r="C486" s="54"/>
      <c r="D486" s="54"/>
      <c r="E486" s="55"/>
      <c r="F486" s="54"/>
      <c r="G486" s="38"/>
      <c r="H486" s="38"/>
    </row>
    <row r="487" spans="1:8" ht="12.75">
      <c r="A487" s="36"/>
      <c r="B487" s="53"/>
      <c r="C487" s="54"/>
      <c r="D487" s="54"/>
      <c r="E487" s="55"/>
      <c r="F487" s="54"/>
      <c r="G487" s="38"/>
      <c r="H487" s="38"/>
    </row>
    <row r="488" spans="1:8" ht="12.75">
      <c r="A488" s="36"/>
      <c r="B488" s="53"/>
      <c r="C488" s="54"/>
      <c r="D488" s="54"/>
      <c r="E488" s="55"/>
      <c r="F488" s="54"/>
      <c r="G488" s="38"/>
      <c r="H488" s="38"/>
    </row>
    <row r="489" spans="1:8" ht="12.75">
      <c r="A489" s="36"/>
      <c r="B489" s="53"/>
      <c r="C489" s="54"/>
      <c r="D489" s="54"/>
      <c r="E489" s="55"/>
      <c r="F489" s="54"/>
      <c r="G489" s="38"/>
      <c r="H489" s="38"/>
    </row>
    <row r="490" spans="1:8" ht="12.75">
      <c r="A490" s="36"/>
      <c r="B490" s="53"/>
      <c r="C490" s="54"/>
      <c r="D490" s="54"/>
      <c r="E490" s="55"/>
      <c r="F490" s="54"/>
      <c r="G490" s="38"/>
      <c r="H490" s="38"/>
    </row>
    <row r="491" spans="1:8" ht="12.75">
      <c r="A491" s="36"/>
      <c r="B491" s="53"/>
      <c r="C491" s="54"/>
      <c r="D491" s="54"/>
      <c r="E491" s="55"/>
      <c r="F491" s="54"/>
      <c r="G491" s="38"/>
      <c r="H491" s="38"/>
    </row>
    <row r="492" spans="1:8" ht="12.75">
      <c r="A492" s="36"/>
      <c r="B492" s="53"/>
      <c r="C492" s="54"/>
      <c r="D492" s="54"/>
      <c r="E492" s="55"/>
      <c r="F492" s="54"/>
      <c r="G492" s="38"/>
      <c r="H492" s="38"/>
    </row>
    <row r="493" spans="1:8" ht="12.75">
      <c r="A493" s="36"/>
      <c r="B493" s="53"/>
      <c r="C493" s="54"/>
      <c r="D493" s="54"/>
      <c r="E493" s="55"/>
      <c r="F493" s="54"/>
      <c r="G493" s="38"/>
      <c r="H493" s="38"/>
    </row>
    <row r="494" spans="1:8" ht="12.75">
      <c r="A494" s="36"/>
      <c r="B494" s="53"/>
      <c r="C494" s="54"/>
      <c r="D494" s="54"/>
      <c r="E494" s="55"/>
      <c r="F494" s="54"/>
      <c r="G494" s="38"/>
      <c r="H494" s="38"/>
    </row>
    <row r="495" spans="1:8" ht="12.75">
      <c r="A495" s="36"/>
      <c r="B495" s="53"/>
      <c r="C495" s="54"/>
      <c r="D495" s="54"/>
      <c r="E495" s="55"/>
      <c r="F495" s="54"/>
      <c r="G495" s="38"/>
      <c r="H495" s="38"/>
    </row>
    <row r="496" spans="1:8" ht="12.75">
      <c r="A496" s="36"/>
      <c r="B496" s="53"/>
      <c r="C496" s="54"/>
      <c r="D496" s="54"/>
      <c r="E496" s="55"/>
      <c r="F496" s="54"/>
      <c r="G496" s="38"/>
      <c r="H496" s="38"/>
    </row>
    <row r="497" spans="1:8" ht="12.75">
      <c r="A497" s="36"/>
      <c r="B497" s="53"/>
      <c r="C497" s="54"/>
      <c r="D497" s="54"/>
      <c r="E497" s="55"/>
      <c r="F497" s="54"/>
      <c r="G497" s="38"/>
      <c r="H497" s="38"/>
    </row>
    <row r="498" spans="1:8" ht="12.75">
      <c r="A498" s="36"/>
      <c r="B498" s="53"/>
      <c r="C498" s="54"/>
      <c r="D498" s="54"/>
      <c r="E498" s="55"/>
      <c r="F498" s="54"/>
      <c r="G498" s="38"/>
      <c r="H498" s="38"/>
    </row>
    <row r="499" spans="1:8" ht="12.75">
      <c r="A499" s="36"/>
      <c r="B499" s="53"/>
      <c r="C499" s="54"/>
      <c r="D499" s="54"/>
      <c r="E499" s="55"/>
      <c r="F499" s="54"/>
      <c r="G499" s="38"/>
      <c r="H499" s="38"/>
    </row>
    <row r="500" spans="1:8" ht="12.75">
      <c r="A500" s="36"/>
      <c r="B500" s="53"/>
      <c r="C500" s="54"/>
      <c r="D500" s="54"/>
      <c r="E500" s="55"/>
      <c r="F500" s="54"/>
      <c r="G500" s="38"/>
      <c r="H500" s="38"/>
    </row>
    <row r="501" spans="1:8" ht="12.75">
      <c r="A501" s="36"/>
      <c r="B501" s="53"/>
      <c r="C501" s="54"/>
      <c r="D501" s="54"/>
      <c r="E501" s="55"/>
      <c r="F501" s="54"/>
      <c r="G501" s="38"/>
      <c r="H501" s="38"/>
    </row>
    <row r="502" spans="1:8" ht="12.75">
      <c r="A502" s="36"/>
      <c r="B502" s="53"/>
      <c r="C502" s="54"/>
      <c r="D502" s="54"/>
      <c r="E502" s="55"/>
      <c r="F502" s="54"/>
      <c r="G502" s="38"/>
      <c r="H502" s="38"/>
    </row>
    <row r="503" spans="1:8" ht="12.75">
      <c r="A503" s="36"/>
      <c r="B503" s="53"/>
      <c r="C503" s="54"/>
      <c r="D503" s="54"/>
      <c r="E503" s="55"/>
      <c r="F503" s="54"/>
      <c r="G503" s="38"/>
      <c r="H503" s="38"/>
    </row>
    <row r="504" spans="1:8" ht="12.75">
      <c r="A504" s="36"/>
      <c r="B504" s="53"/>
      <c r="C504" s="54"/>
      <c r="D504" s="54"/>
      <c r="E504" s="55"/>
      <c r="F504" s="54"/>
      <c r="G504" s="38"/>
      <c r="H504" s="38"/>
    </row>
    <row r="505" spans="1:8" ht="12.75">
      <c r="A505" s="36"/>
      <c r="B505" s="53"/>
      <c r="C505" s="54"/>
      <c r="D505" s="54"/>
      <c r="E505" s="55"/>
      <c r="F505" s="54"/>
      <c r="G505" s="38"/>
      <c r="H505" s="38"/>
    </row>
    <row r="506" spans="1:8" ht="12.75">
      <c r="A506" s="36"/>
      <c r="B506" s="53"/>
      <c r="C506" s="54"/>
      <c r="D506" s="54"/>
      <c r="E506" s="55"/>
      <c r="F506" s="54"/>
      <c r="G506" s="38"/>
      <c r="H506" s="38"/>
    </row>
    <row r="507" spans="1:8" ht="12.75">
      <c r="A507" s="36"/>
      <c r="B507" s="53"/>
      <c r="C507" s="54"/>
      <c r="D507" s="54"/>
      <c r="E507" s="55"/>
      <c r="F507" s="54"/>
      <c r="G507" s="38"/>
      <c r="H507" s="38"/>
    </row>
    <row r="508" spans="1:8" ht="12.75">
      <c r="A508" s="36"/>
      <c r="B508" s="53"/>
      <c r="C508" s="54"/>
      <c r="D508" s="54"/>
      <c r="E508" s="55"/>
      <c r="F508" s="54"/>
      <c r="G508" s="38"/>
      <c r="H508" s="38"/>
    </row>
    <row r="509" spans="1:8" ht="12.75">
      <c r="A509" s="36"/>
      <c r="B509" s="53"/>
      <c r="C509" s="54"/>
      <c r="D509" s="54"/>
      <c r="E509" s="55"/>
      <c r="F509" s="54"/>
      <c r="G509" s="38"/>
      <c r="H509" s="38"/>
    </row>
    <row r="510" spans="1:8" ht="12.75">
      <c r="A510" s="36"/>
      <c r="B510" s="53"/>
      <c r="C510" s="54"/>
      <c r="D510" s="54"/>
      <c r="E510" s="55"/>
      <c r="F510" s="54"/>
      <c r="G510" s="38"/>
      <c r="H510" s="38"/>
    </row>
    <row r="511" spans="1:8" ht="12.75">
      <c r="A511" s="36"/>
      <c r="B511" s="53"/>
      <c r="C511" s="54"/>
      <c r="D511" s="54"/>
      <c r="E511" s="55"/>
      <c r="F511" s="54"/>
      <c r="G511" s="38"/>
      <c r="H511" s="38"/>
    </row>
    <row r="512" spans="1:8" ht="12.75">
      <c r="A512" s="36"/>
      <c r="B512" s="53"/>
      <c r="C512" s="54"/>
      <c r="D512" s="54"/>
      <c r="E512" s="55"/>
      <c r="F512" s="54"/>
      <c r="G512" s="38"/>
      <c r="H512" s="38"/>
    </row>
    <row r="513" spans="1:8" ht="12.75">
      <c r="A513" s="36"/>
      <c r="B513" s="53"/>
      <c r="C513" s="54"/>
      <c r="D513" s="54"/>
      <c r="E513" s="55"/>
      <c r="F513" s="54"/>
      <c r="G513" s="38"/>
      <c r="H513" s="38"/>
    </row>
    <row r="514" spans="1:8" ht="12.75">
      <c r="A514" s="36"/>
      <c r="B514" s="53"/>
      <c r="C514" s="54"/>
      <c r="D514" s="54"/>
      <c r="E514" s="55"/>
      <c r="F514" s="54"/>
      <c r="G514" s="38"/>
      <c r="H514" s="38"/>
    </row>
    <row r="515" spans="1:8" ht="12.75">
      <c r="A515" s="36"/>
      <c r="B515" s="53"/>
      <c r="C515" s="54"/>
      <c r="D515" s="54"/>
      <c r="E515" s="55"/>
      <c r="F515" s="54"/>
      <c r="G515" s="38"/>
      <c r="H515" s="38"/>
    </row>
    <row r="516" spans="1:8" ht="12.75">
      <c r="A516" s="36"/>
      <c r="B516" s="53"/>
      <c r="C516" s="54"/>
      <c r="D516" s="54"/>
      <c r="E516" s="55"/>
      <c r="F516" s="54"/>
      <c r="G516" s="38"/>
      <c r="H516" s="38"/>
    </row>
    <row r="517" spans="1:8" ht="12.75">
      <c r="A517" s="36"/>
      <c r="B517" s="53"/>
      <c r="C517" s="54"/>
      <c r="D517" s="54"/>
      <c r="E517" s="55"/>
      <c r="F517" s="54"/>
      <c r="G517" s="38"/>
      <c r="H517" s="38"/>
    </row>
    <row r="518" spans="1:8" ht="12.75">
      <c r="A518" s="36"/>
      <c r="B518" s="53"/>
      <c r="C518" s="54"/>
      <c r="D518" s="54"/>
      <c r="E518" s="55"/>
      <c r="F518" s="54"/>
      <c r="G518" s="38"/>
      <c r="H518" s="38"/>
    </row>
    <row r="519" spans="1:8" ht="12.75">
      <c r="A519" s="36"/>
      <c r="B519" s="53"/>
      <c r="C519" s="54"/>
      <c r="D519" s="54"/>
      <c r="E519" s="55"/>
      <c r="F519" s="54"/>
      <c r="G519" s="38"/>
      <c r="H519" s="38"/>
    </row>
    <row r="520" spans="1:8" ht="12.75">
      <c r="A520" s="36"/>
      <c r="B520" s="53"/>
      <c r="C520" s="54"/>
      <c r="D520" s="54"/>
      <c r="E520" s="55"/>
      <c r="F520" s="54"/>
      <c r="G520" s="38"/>
      <c r="H520" s="38"/>
    </row>
    <row r="521" spans="1:8" ht="12.75">
      <c r="A521" s="36"/>
      <c r="B521" s="53"/>
      <c r="C521" s="54"/>
      <c r="D521" s="54"/>
      <c r="E521" s="55"/>
      <c r="F521" s="54"/>
      <c r="G521" s="38"/>
      <c r="H521" s="38"/>
    </row>
    <row r="522" spans="1:8" ht="12.75">
      <c r="A522" s="36"/>
      <c r="B522" s="53"/>
      <c r="C522" s="54"/>
      <c r="D522" s="54"/>
      <c r="E522" s="55"/>
      <c r="F522" s="54"/>
      <c r="G522" s="38"/>
      <c r="H522" s="38"/>
    </row>
    <row r="523" spans="1:8" ht="12.75">
      <c r="A523" s="36"/>
      <c r="B523" s="53"/>
      <c r="C523" s="54"/>
      <c r="D523" s="54"/>
      <c r="E523" s="55"/>
      <c r="F523" s="54"/>
      <c r="G523" s="38"/>
      <c r="H523" s="38"/>
    </row>
    <row r="524" spans="1:8" ht="12.75">
      <c r="A524" s="36"/>
      <c r="B524" s="53"/>
      <c r="C524" s="54"/>
      <c r="D524" s="54"/>
      <c r="E524" s="55"/>
      <c r="F524" s="54"/>
      <c r="G524" s="38"/>
      <c r="H524" s="38"/>
    </row>
    <row r="525" spans="1:8" ht="12.75">
      <c r="A525" s="36"/>
      <c r="B525" s="53"/>
      <c r="C525" s="54"/>
      <c r="D525" s="54"/>
      <c r="E525" s="55"/>
      <c r="F525" s="54"/>
      <c r="G525" s="38"/>
      <c r="H525" s="38"/>
    </row>
    <row r="526" spans="1:8" ht="12.75">
      <c r="A526" s="36"/>
      <c r="B526" s="53"/>
      <c r="C526" s="54"/>
      <c r="D526" s="54"/>
      <c r="E526" s="55"/>
      <c r="F526" s="54"/>
      <c r="G526" s="38"/>
      <c r="H526" s="38"/>
    </row>
    <row r="527" spans="1:8" ht="12.75">
      <c r="A527" s="36"/>
      <c r="B527" s="53"/>
      <c r="C527" s="54"/>
      <c r="D527" s="54"/>
      <c r="E527" s="55"/>
      <c r="F527" s="54"/>
      <c r="G527" s="38"/>
      <c r="H527" s="38"/>
    </row>
    <row r="528" spans="1:8" ht="12.75">
      <c r="A528" s="36"/>
      <c r="B528" s="53"/>
      <c r="C528" s="54"/>
      <c r="D528" s="54"/>
      <c r="E528" s="55"/>
      <c r="F528" s="54"/>
      <c r="G528" s="38"/>
      <c r="H528" s="38"/>
    </row>
    <row r="529" spans="1:8" ht="12.75">
      <c r="A529" s="36"/>
      <c r="B529" s="53"/>
      <c r="C529" s="54"/>
      <c r="D529" s="54"/>
      <c r="E529" s="55"/>
      <c r="F529" s="54"/>
      <c r="G529" s="38"/>
      <c r="H529" s="38"/>
    </row>
    <row r="530" spans="1:8" ht="12.75">
      <c r="A530" s="36"/>
      <c r="B530" s="53"/>
      <c r="C530" s="54"/>
      <c r="D530" s="54"/>
      <c r="E530" s="55"/>
      <c r="F530" s="54"/>
      <c r="G530" s="38"/>
      <c r="H530" s="38"/>
    </row>
    <row r="531" spans="1:8" ht="12.75">
      <c r="A531" s="36"/>
      <c r="B531" s="53"/>
      <c r="C531" s="54"/>
      <c r="D531" s="54"/>
      <c r="E531" s="55"/>
      <c r="F531" s="54"/>
      <c r="G531" s="38"/>
      <c r="H531" s="38"/>
    </row>
    <row r="532" spans="1:8" ht="12.75">
      <c r="A532" s="36"/>
      <c r="B532" s="53"/>
      <c r="C532" s="54"/>
      <c r="D532" s="54"/>
      <c r="E532" s="55"/>
      <c r="F532" s="54"/>
      <c r="G532" s="38"/>
      <c r="H532" s="38"/>
    </row>
    <row r="533" spans="1:8" ht="12.75">
      <c r="A533" s="36"/>
      <c r="B533" s="53"/>
      <c r="C533" s="54"/>
      <c r="D533" s="54"/>
      <c r="E533" s="55"/>
      <c r="F533" s="54"/>
      <c r="G533" s="38"/>
      <c r="H533" s="38"/>
    </row>
    <row r="534" spans="1:8" ht="12.75">
      <c r="A534" s="36"/>
      <c r="B534" s="53"/>
      <c r="C534" s="54"/>
      <c r="D534" s="54"/>
      <c r="E534" s="55"/>
      <c r="F534" s="54"/>
      <c r="G534" s="38"/>
      <c r="H534" s="38"/>
    </row>
    <row r="535" spans="1:8" ht="12.75">
      <c r="A535" s="36"/>
      <c r="B535" s="53"/>
      <c r="C535" s="54"/>
      <c r="D535" s="54"/>
      <c r="E535" s="55"/>
      <c r="F535" s="54"/>
      <c r="G535" s="38"/>
      <c r="H535" s="38"/>
    </row>
    <row r="536" spans="1:8" ht="12.75">
      <c r="A536" s="36"/>
      <c r="B536" s="53"/>
      <c r="C536" s="54"/>
      <c r="D536" s="54"/>
      <c r="E536" s="55"/>
      <c r="F536" s="54"/>
      <c r="G536" s="38"/>
      <c r="H536" s="38"/>
    </row>
    <row r="537" spans="1:8" ht="12.75">
      <c r="A537" s="36"/>
      <c r="B537" s="53"/>
      <c r="C537" s="54"/>
      <c r="D537" s="54"/>
      <c r="E537" s="55"/>
      <c r="F537" s="54"/>
      <c r="G537" s="38"/>
      <c r="H537" s="38"/>
    </row>
    <row r="538" spans="1:8" ht="12.75">
      <c r="A538" s="36"/>
      <c r="B538" s="53"/>
      <c r="C538" s="54"/>
      <c r="D538" s="54"/>
      <c r="E538" s="55"/>
      <c r="F538" s="54"/>
      <c r="G538" s="38"/>
      <c r="H538" s="38"/>
    </row>
    <row r="539" spans="1:8" ht="12.75">
      <c r="A539" s="36"/>
      <c r="B539" s="53"/>
      <c r="C539" s="54"/>
      <c r="D539" s="54"/>
      <c r="E539" s="55"/>
      <c r="F539" s="54"/>
      <c r="G539" s="38"/>
      <c r="H539" s="38"/>
    </row>
    <row r="540" spans="1:8" ht="12.75">
      <c r="A540" s="36"/>
      <c r="B540" s="53"/>
      <c r="C540" s="54"/>
      <c r="D540" s="54"/>
      <c r="E540" s="55"/>
      <c r="F540" s="54"/>
      <c r="G540" s="38"/>
      <c r="H540" s="38"/>
    </row>
    <row r="541" spans="1:8" ht="12.75">
      <c r="A541" s="36"/>
      <c r="B541" s="53"/>
      <c r="C541" s="54"/>
      <c r="D541" s="54"/>
      <c r="E541" s="55"/>
      <c r="F541" s="54"/>
      <c r="G541" s="38"/>
      <c r="H541" s="38"/>
    </row>
    <row r="542" spans="1:8" ht="12.75">
      <c r="A542" s="36"/>
      <c r="B542" s="53"/>
      <c r="C542" s="54"/>
      <c r="D542" s="54"/>
      <c r="E542" s="55"/>
      <c r="F542" s="54"/>
      <c r="G542" s="38"/>
      <c r="H542" s="38"/>
    </row>
    <row r="543" spans="1:8" ht="12.75">
      <c r="A543" s="36"/>
      <c r="B543" s="53"/>
      <c r="C543" s="54"/>
      <c r="D543" s="54"/>
      <c r="E543" s="55"/>
      <c r="F543" s="54"/>
      <c r="G543" s="38"/>
      <c r="H543" s="38"/>
    </row>
    <row r="544" spans="1:8" ht="12.75">
      <c r="A544" s="36"/>
      <c r="B544" s="53"/>
      <c r="C544" s="54"/>
      <c r="D544" s="54"/>
      <c r="E544" s="55"/>
      <c r="F544" s="54"/>
      <c r="G544" s="38"/>
      <c r="H544" s="38"/>
    </row>
    <row r="545" spans="1:8" ht="12.75">
      <c r="A545" s="36"/>
      <c r="B545" s="53"/>
      <c r="C545" s="54"/>
      <c r="D545" s="54"/>
      <c r="E545" s="55"/>
      <c r="F545" s="54"/>
      <c r="G545" s="38"/>
      <c r="H545" s="38"/>
    </row>
    <row r="546" spans="1:8" ht="12.75">
      <c r="A546" s="36"/>
      <c r="B546" s="53"/>
      <c r="C546" s="54"/>
      <c r="D546" s="54"/>
      <c r="E546" s="55"/>
      <c r="F546" s="54"/>
      <c r="G546" s="38"/>
      <c r="H546" s="38"/>
    </row>
    <row r="547" spans="1:8" ht="12.75">
      <c r="A547" s="36"/>
      <c r="B547" s="53"/>
      <c r="C547" s="54"/>
      <c r="D547" s="54"/>
      <c r="E547" s="55"/>
      <c r="F547" s="54"/>
      <c r="G547" s="38"/>
      <c r="H547" s="38"/>
    </row>
    <row r="548" spans="1:8" ht="12.75">
      <c r="A548" s="36"/>
      <c r="B548" s="53"/>
      <c r="C548" s="54"/>
      <c r="D548" s="54"/>
      <c r="E548" s="55"/>
      <c r="F548" s="54"/>
      <c r="G548" s="38"/>
      <c r="H548" s="38"/>
    </row>
    <row r="549" spans="1:8" ht="12.75">
      <c r="A549" s="36"/>
      <c r="B549" s="53"/>
      <c r="C549" s="54"/>
      <c r="D549" s="54"/>
      <c r="E549" s="55"/>
      <c r="F549" s="54"/>
      <c r="G549" s="38"/>
      <c r="H549" s="38"/>
    </row>
    <row r="550" spans="1:8" ht="12.75">
      <c r="A550" s="36"/>
      <c r="B550" s="53"/>
      <c r="C550" s="54"/>
      <c r="D550" s="54"/>
      <c r="E550" s="55"/>
      <c r="F550" s="54"/>
      <c r="G550" s="38"/>
      <c r="H550" s="38"/>
    </row>
    <row r="551" spans="1:8" ht="12.75">
      <c r="A551" s="36"/>
      <c r="B551" s="53"/>
      <c r="C551" s="54"/>
      <c r="D551" s="54"/>
      <c r="E551" s="55"/>
      <c r="F551" s="54"/>
      <c r="G551" s="38"/>
      <c r="H551" s="38"/>
    </row>
    <row r="552" spans="1:8" ht="12.75">
      <c r="A552" s="36"/>
      <c r="B552" s="53"/>
      <c r="C552" s="54"/>
      <c r="D552" s="54"/>
      <c r="E552" s="55"/>
      <c r="F552" s="54"/>
      <c r="G552" s="38"/>
      <c r="H552" s="38"/>
    </row>
    <row r="553" spans="1:8" ht="12.75">
      <c r="A553" s="36"/>
      <c r="B553" s="53"/>
      <c r="C553" s="54"/>
      <c r="D553" s="54"/>
      <c r="E553" s="55"/>
      <c r="F553" s="54"/>
      <c r="G553" s="38"/>
      <c r="H553" s="38"/>
    </row>
    <row r="554" spans="1:8" ht="12.75">
      <c r="A554" s="36"/>
      <c r="B554" s="53"/>
      <c r="C554" s="54"/>
      <c r="D554" s="54"/>
      <c r="E554" s="55"/>
      <c r="F554" s="54"/>
      <c r="G554" s="38"/>
      <c r="H554" s="38"/>
    </row>
    <row r="555" spans="1:8" ht="12.75">
      <c r="A555" s="36"/>
      <c r="B555" s="53"/>
      <c r="C555" s="54"/>
      <c r="D555" s="54"/>
      <c r="E555" s="55"/>
      <c r="F555" s="54"/>
      <c r="G555" s="38"/>
      <c r="H555" s="38"/>
    </row>
    <row r="556" spans="1:8" ht="12.75">
      <c r="A556" s="36"/>
      <c r="B556" s="53"/>
      <c r="C556" s="54"/>
      <c r="D556" s="54"/>
      <c r="E556" s="55"/>
      <c r="F556" s="54"/>
      <c r="G556" s="38"/>
      <c r="H556" s="38"/>
    </row>
    <row r="557" spans="1:8" ht="12.75">
      <c r="A557" s="36"/>
      <c r="B557" s="53"/>
      <c r="C557" s="54"/>
      <c r="D557" s="54"/>
      <c r="E557" s="55"/>
      <c r="F557" s="54"/>
      <c r="G557" s="38"/>
      <c r="H557" s="38"/>
    </row>
    <row r="558" spans="1:8" ht="12.75">
      <c r="A558" s="36"/>
      <c r="B558" s="53"/>
      <c r="C558" s="54"/>
      <c r="D558" s="54"/>
      <c r="E558" s="55"/>
      <c r="F558" s="54"/>
      <c r="G558" s="38"/>
      <c r="H558" s="38"/>
    </row>
    <row r="559" spans="1:8" ht="12.75">
      <c r="A559" s="36"/>
      <c r="B559" s="53"/>
      <c r="C559" s="54"/>
      <c r="D559" s="54"/>
      <c r="E559" s="55"/>
      <c r="F559" s="54"/>
      <c r="G559" s="38"/>
      <c r="H559" s="38"/>
    </row>
    <row r="560" spans="1:8" ht="12.75">
      <c r="A560" s="36"/>
      <c r="B560" s="53"/>
      <c r="C560" s="54"/>
      <c r="D560" s="54"/>
      <c r="E560" s="55"/>
      <c r="F560" s="54"/>
      <c r="G560" s="38"/>
      <c r="H560" s="38"/>
    </row>
    <row r="561" spans="1:8" ht="12.75">
      <c r="A561" s="36"/>
      <c r="B561" s="53"/>
      <c r="C561" s="54"/>
      <c r="D561" s="54"/>
      <c r="E561" s="55"/>
      <c r="F561" s="54"/>
      <c r="G561" s="38"/>
      <c r="H561" s="38"/>
    </row>
    <row r="562" spans="1:8" ht="12.75">
      <c r="A562" s="36"/>
      <c r="B562" s="53"/>
      <c r="C562" s="54"/>
      <c r="D562" s="54"/>
      <c r="E562" s="55"/>
      <c r="F562" s="54"/>
      <c r="G562" s="38"/>
      <c r="H562" s="38"/>
    </row>
    <row r="563" spans="1:8" ht="12.75">
      <c r="A563" s="36"/>
      <c r="B563" s="53"/>
      <c r="C563" s="54"/>
      <c r="D563" s="54"/>
      <c r="E563" s="55"/>
      <c r="F563" s="54"/>
      <c r="G563" s="38"/>
      <c r="H563" s="38"/>
    </row>
    <row r="564" spans="1:8" ht="12.75">
      <c r="A564" s="36"/>
      <c r="B564" s="53"/>
      <c r="C564" s="54"/>
      <c r="D564" s="54"/>
      <c r="E564" s="55"/>
      <c r="F564" s="54"/>
      <c r="G564" s="38"/>
      <c r="H564" s="38"/>
    </row>
    <row r="565" spans="1:8" ht="12.75">
      <c r="A565" s="36"/>
      <c r="B565" s="53"/>
      <c r="C565" s="54"/>
      <c r="D565" s="54"/>
      <c r="E565" s="55"/>
      <c r="F565" s="54"/>
      <c r="G565" s="38"/>
      <c r="H565" s="38"/>
    </row>
    <row r="566" spans="1:8" ht="12.75">
      <c r="A566" s="36"/>
      <c r="B566" s="53"/>
      <c r="C566" s="54"/>
      <c r="D566" s="54"/>
      <c r="E566" s="55"/>
      <c r="F566" s="54"/>
      <c r="G566" s="38"/>
      <c r="H566" s="38"/>
    </row>
    <row r="567" spans="1:8" ht="12.75">
      <c r="A567" s="36"/>
      <c r="B567" s="53"/>
      <c r="C567" s="54"/>
      <c r="D567" s="54"/>
      <c r="E567" s="55"/>
      <c r="F567" s="54"/>
      <c r="G567" s="38"/>
      <c r="H567" s="38"/>
    </row>
    <row r="568" spans="1:8" ht="12.75">
      <c r="A568" s="36"/>
      <c r="B568" s="53"/>
      <c r="C568" s="54"/>
      <c r="D568" s="54"/>
      <c r="E568" s="55"/>
      <c r="F568" s="54"/>
      <c r="G568" s="38"/>
      <c r="H568" s="38"/>
    </row>
    <row r="569" spans="1:8" ht="12.75">
      <c r="A569" s="36"/>
      <c r="B569" s="53"/>
      <c r="C569" s="54"/>
      <c r="D569" s="54"/>
      <c r="E569" s="55"/>
      <c r="F569" s="54"/>
      <c r="G569" s="38"/>
      <c r="H569" s="38"/>
    </row>
    <row r="570" spans="1:8" ht="12.75">
      <c r="A570" s="36"/>
      <c r="B570" s="53"/>
      <c r="C570" s="54"/>
      <c r="D570" s="54"/>
      <c r="E570" s="55"/>
      <c r="F570" s="54"/>
      <c r="G570" s="38"/>
      <c r="H570" s="38"/>
    </row>
    <row r="571" spans="1:8" ht="12.75">
      <c r="A571" s="36"/>
      <c r="B571" s="53"/>
      <c r="C571" s="54"/>
      <c r="D571" s="54"/>
      <c r="E571" s="55"/>
      <c r="F571" s="54"/>
      <c r="G571" s="38"/>
      <c r="H571" s="38"/>
    </row>
    <row r="572" spans="1:8" ht="12.75">
      <c r="A572" s="36"/>
      <c r="B572" s="53"/>
      <c r="C572" s="54"/>
      <c r="D572" s="54"/>
      <c r="E572" s="55"/>
      <c r="F572" s="54"/>
      <c r="G572" s="38"/>
      <c r="H572" s="38"/>
    </row>
    <row r="573" spans="1:8" ht="12.75">
      <c r="A573" s="36"/>
      <c r="B573" s="53"/>
      <c r="C573" s="54"/>
      <c r="D573" s="54"/>
      <c r="E573" s="55"/>
      <c r="F573" s="54"/>
      <c r="G573" s="38"/>
      <c r="H573" s="38"/>
    </row>
    <row r="574" spans="1:8" ht="12.75">
      <c r="A574" s="36"/>
      <c r="B574" s="53"/>
      <c r="C574" s="54"/>
      <c r="D574" s="54"/>
      <c r="E574" s="55"/>
      <c r="F574" s="54"/>
      <c r="G574" s="38"/>
      <c r="H574" s="38"/>
    </row>
    <row r="575" spans="1:8" ht="12.75">
      <c r="A575" s="36"/>
      <c r="B575" s="53"/>
      <c r="C575" s="54"/>
      <c r="D575" s="54"/>
      <c r="E575" s="55"/>
      <c r="F575" s="54"/>
      <c r="G575" s="38"/>
      <c r="H575" s="38"/>
    </row>
    <row r="576" spans="1:8" ht="12.75">
      <c r="A576" s="36"/>
      <c r="B576" s="53"/>
      <c r="C576" s="54"/>
      <c r="D576" s="54"/>
      <c r="E576" s="55"/>
      <c r="F576" s="54"/>
      <c r="G576" s="38"/>
      <c r="H576" s="38"/>
    </row>
    <row r="577" spans="1:8" ht="12.75">
      <c r="A577" s="36"/>
      <c r="B577" s="53"/>
      <c r="C577" s="54"/>
      <c r="D577" s="54"/>
      <c r="E577" s="55"/>
      <c r="F577" s="54"/>
      <c r="G577" s="38"/>
      <c r="H577" s="38"/>
    </row>
    <row r="578" spans="1:8" ht="12.75">
      <c r="A578" s="36"/>
      <c r="B578" s="53"/>
      <c r="C578" s="54"/>
      <c r="D578" s="54"/>
      <c r="E578" s="55"/>
      <c r="F578" s="54"/>
      <c r="G578" s="38"/>
      <c r="H578" s="38"/>
    </row>
    <row r="579" spans="1:8" ht="12.75">
      <c r="A579" s="36"/>
      <c r="B579" s="53"/>
      <c r="C579" s="54"/>
      <c r="D579" s="54"/>
      <c r="E579" s="55"/>
      <c r="F579" s="54"/>
      <c r="G579" s="38"/>
      <c r="H579" s="38"/>
    </row>
    <row r="580" spans="1:8" ht="12.75">
      <c r="A580" s="36"/>
      <c r="B580" s="53"/>
      <c r="C580" s="54"/>
      <c r="D580" s="54"/>
      <c r="E580" s="55"/>
      <c r="F580" s="54"/>
      <c r="G580" s="38"/>
      <c r="H580" s="38"/>
    </row>
    <row r="581" spans="1:8" ht="12.75">
      <c r="A581" s="36"/>
      <c r="B581" s="53"/>
      <c r="C581" s="54"/>
      <c r="D581" s="54"/>
      <c r="E581" s="55"/>
      <c r="F581" s="54"/>
      <c r="G581" s="38"/>
      <c r="H581" s="38"/>
    </row>
    <row r="582" spans="1:8" ht="12.75">
      <c r="A582" s="36"/>
      <c r="B582" s="53"/>
      <c r="C582" s="54"/>
      <c r="D582" s="54"/>
      <c r="E582" s="55"/>
      <c r="F582" s="54"/>
      <c r="G582" s="38"/>
      <c r="H582" s="38"/>
    </row>
    <row r="583" spans="1:8" ht="12.75">
      <c r="A583" s="36"/>
      <c r="B583" s="53"/>
      <c r="C583" s="54"/>
      <c r="D583" s="54"/>
      <c r="E583" s="55"/>
      <c r="F583" s="54"/>
      <c r="G583" s="38"/>
      <c r="H583" s="38"/>
    </row>
    <row r="584" spans="1:8" ht="12.75">
      <c r="A584" s="36"/>
      <c r="B584" s="53"/>
      <c r="C584" s="54"/>
      <c r="D584" s="54"/>
      <c r="E584" s="55"/>
      <c r="F584" s="54"/>
      <c r="G584" s="38"/>
      <c r="H584" s="38"/>
    </row>
    <row r="585" spans="1:8" ht="12.75">
      <c r="A585" s="36"/>
      <c r="B585" s="53"/>
      <c r="C585" s="54"/>
      <c r="D585" s="54"/>
      <c r="E585" s="55"/>
      <c r="F585" s="54"/>
      <c r="G585" s="38"/>
      <c r="H585" s="38"/>
    </row>
    <row r="586" spans="1:8" ht="12.75">
      <c r="A586" s="36"/>
      <c r="B586" s="53"/>
      <c r="C586" s="54"/>
      <c r="D586" s="54"/>
      <c r="E586" s="55"/>
      <c r="F586" s="54"/>
      <c r="G586" s="38"/>
      <c r="H586" s="38"/>
    </row>
    <row r="587" spans="1:8" ht="12.75">
      <c r="A587" s="36"/>
      <c r="B587" s="53"/>
      <c r="C587" s="54"/>
      <c r="D587" s="54"/>
      <c r="E587" s="55"/>
      <c r="F587" s="54"/>
      <c r="G587" s="38"/>
      <c r="H587" s="38"/>
    </row>
    <row r="588" spans="1:8" ht="12.75">
      <c r="A588" s="36"/>
      <c r="B588" s="53"/>
      <c r="C588" s="54"/>
      <c r="D588" s="54"/>
      <c r="E588" s="55"/>
      <c r="F588" s="54"/>
      <c r="G588" s="38"/>
      <c r="H588" s="38"/>
    </row>
    <row r="589" spans="1:8" ht="12.75">
      <c r="A589" s="36"/>
      <c r="B589" s="53"/>
      <c r="C589" s="54"/>
      <c r="D589" s="54"/>
      <c r="E589" s="55"/>
      <c r="F589" s="54"/>
      <c r="G589" s="38"/>
      <c r="H589" s="38"/>
    </row>
    <row r="590" spans="1:8" ht="12.75">
      <c r="A590" s="36"/>
      <c r="B590" s="53"/>
      <c r="C590" s="54"/>
      <c r="D590" s="54"/>
      <c r="E590" s="55"/>
      <c r="F590" s="54"/>
      <c r="G590" s="38"/>
      <c r="H590" s="38"/>
    </row>
    <row r="591" spans="1:8" ht="12.75">
      <c r="A591" s="36"/>
      <c r="B591" s="53"/>
      <c r="C591" s="54"/>
      <c r="D591" s="54"/>
      <c r="E591" s="55"/>
      <c r="F591" s="54"/>
      <c r="G591" s="38"/>
      <c r="H591" s="38"/>
    </row>
    <row r="592" spans="1:8" ht="12.75">
      <c r="A592" s="36"/>
      <c r="B592" s="53"/>
      <c r="C592" s="54"/>
      <c r="D592" s="54"/>
      <c r="E592" s="55"/>
      <c r="F592" s="54"/>
      <c r="G592" s="38"/>
      <c r="H592" s="38"/>
    </row>
    <row r="593" spans="1:8" ht="12.75">
      <c r="A593" s="36"/>
      <c r="B593" s="53"/>
      <c r="C593" s="54"/>
      <c r="D593" s="54"/>
      <c r="E593" s="55"/>
      <c r="F593" s="54"/>
      <c r="G593" s="38"/>
      <c r="H593" s="38"/>
    </row>
    <row r="594" spans="1:8" ht="12.75">
      <c r="A594" s="36"/>
      <c r="B594" s="53"/>
      <c r="C594" s="54"/>
      <c r="D594" s="54"/>
      <c r="E594" s="55"/>
      <c r="F594" s="54"/>
      <c r="G594" s="38"/>
      <c r="H594" s="38"/>
    </row>
    <row r="595" spans="1:8" ht="12.75">
      <c r="A595" s="36"/>
      <c r="B595" s="53"/>
      <c r="C595" s="54"/>
      <c r="D595" s="54"/>
      <c r="E595" s="55"/>
      <c r="F595" s="54"/>
      <c r="G595" s="38"/>
      <c r="H595" s="38"/>
    </row>
    <row r="596" spans="1:8" ht="12.75">
      <c r="A596" s="36"/>
      <c r="B596" s="53"/>
      <c r="C596" s="54"/>
      <c r="D596" s="54"/>
      <c r="E596" s="55"/>
      <c r="F596" s="54"/>
      <c r="G596" s="38"/>
      <c r="H596" s="38"/>
    </row>
    <row r="597" spans="1:8" ht="12.75">
      <c r="A597" s="36"/>
      <c r="B597" s="53"/>
      <c r="C597" s="54"/>
      <c r="D597" s="54"/>
      <c r="E597" s="55"/>
      <c r="F597" s="54"/>
      <c r="G597" s="38"/>
      <c r="H597" s="38"/>
    </row>
    <row r="598" spans="1:8" ht="12.75">
      <c r="A598" s="36"/>
      <c r="B598" s="53"/>
      <c r="C598" s="54"/>
      <c r="D598" s="54"/>
      <c r="E598" s="55"/>
      <c r="F598" s="54"/>
      <c r="G598" s="38"/>
      <c r="H598" s="38"/>
    </row>
    <row r="599" spans="1:8" ht="12.75">
      <c r="A599" s="36"/>
      <c r="B599" s="53"/>
      <c r="C599" s="54"/>
      <c r="D599" s="54"/>
      <c r="E599" s="55"/>
      <c r="F599" s="54"/>
      <c r="G599" s="38"/>
      <c r="H599" s="38"/>
    </row>
    <row r="600" spans="1:8" ht="12.75">
      <c r="A600" s="36"/>
      <c r="B600" s="53"/>
      <c r="C600" s="54"/>
      <c r="D600" s="54"/>
      <c r="E600" s="55"/>
      <c r="F600" s="54"/>
      <c r="G600" s="38"/>
      <c r="H600" s="38"/>
    </row>
    <row r="601" spans="1:8" ht="12.75">
      <c r="A601" s="36"/>
      <c r="B601" s="53"/>
      <c r="C601" s="54"/>
      <c r="D601" s="54"/>
      <c r="E601" s="55"/>
      <c r="F601" s="54"/>
      <c r="G601" s="38"/>
      <c r="H601" s="38"/>
    </row>
    <row r="602" spans="1:8" ht="12.75">
      <c r="A602" s="36"/>
      <c r="B602" s="53"/>
      <c r="C602" s="54"/>
      <c r="D602" s="54"/>
      <c r="E602" s="55"/>
      <c r="F602" s="54"/>
      <c r="G602" s="38"/>
      <c r="H602" s="38"/>
    </row>
    <row r="603" spans="1:8" ht="12.75">
      <c r="A603" s="36"/>
      <c r="B603" s="53"/>
      <c r="C603" s="54"/>
      <c r="D603" s="54"/>
      <c r="E603" s="55"/>
      <c r="F603" s="54"/>
      <c r="G603" s="38"/>
      <c r="H603" s="38"/>
    </row>
    <row r="604" spans="1:8" ht="12.75">
      <c r="A604" s="36"/>
      <c r="B604" s="53"/>
      <c r="C604" s="54"/>
      <c r="D604" s="54"/>
      <c r="E604" s="55"/>
      <c r="F604" s="54"/>
      <c r="G604" s="38"/>
      <c r="H604" s="38"/>
    </row>
    <row r="605" spans="1:8" ht="12.75">
      <c r="A605" s="36"/>
      <c r="B605" s="53"/>
      <c r="C605" s="54"/>
      <c r="D605" s="54"/>
      <c r="E605" s="55"/>
      <c r="F605" s="54"/>
      <c r="G605" s="38"/>
      <c r="H605" s="38"/>
    </row>
    <row r="606" spans="1:8" ht="12.75">
      <c r="A606" s="36"/>
      <c r="B606" s="53"/>
      <c r="C606" s="54"/>
      <c r="D606" s="54"/>
      <c r="E606" s="55"/>
      <c r="F606" s="54"/>
      <c r="G606" s="38"/>
      <c r="H606" s="38"/>
    </row>
    <row r="607" spans="1:8" ht="12.75">
      <c r="A607" s="36"/>
      <c r="B607" s="53"/>
      <c r="C607" s="54"/>
      <c r="D607" s="54"/>
      <c r="E607" s="55"/>
      <c r="F607" s="54"/>
      <c r="G607" s="38"/>
      <c r="H607" s="38"/>
    </row>
    <row r="608" spans="1:8" ht="12.75">
      <c r="A608" s="36"/>
      <c r="B608" s="53"/>
      <c r="C608" s="54"/>
      <c r="D608" s="54"/>
      <c r="E608" s="55"/>
      <c r="F608" s="54"/>
      <c r="G608" s="38"/>
      <c r="H608" s="38"/>
    </row>
    <row r="609" spans="1:8" ht="12.75">
      <c r="A609" s="36"/>
      <c r="B609" s="53"/>
      <c r="C609" s="54"/>
      <c r="D609" s="54"/>
      <c r="E609" s="55"/>
      <c r="F609" s="54"/>
      <c r="G609" s="38"/>
      <c r="H609" s="38"/>
    </row>
    <row r="610" spans="1:8" ht="12.75">
      <c r="A610" s="36"/>
      <c r="B610" s="53"/>
      <c r="C610" s="54"/>
      <c r="D610" s="54"/>
      <c r="E610" s="55"/>
      <c r="F610" s="54"/>
      <c r="G610" s="38"/>
      <c r="H610" s="38"/>
    </row>
    <row r="611" spans="1:8" ht="12.75">
      <c r="A611" s="36"/>
      <c r="B611" s="53"/>
      <c r="C611" s="54"/>
      <c r="D611" s="54"/>
      <c r="E611" s="55"/>
      <c r="F611" s="54"/>
      <c r="G611" s="38"/>
      <c r="H611" s="38"/>
    </row>
    <row r="612" spans="1:8" ht="12.75">
      <c r="A612" s="36"/>
      <c r="B612" s="53"/>
      <c r="C612" s="54"/>
      <c r="D612" s="54"/>
      <c r="E612" s="55"/>
      <c r="F612" s="54"/>
      <c r="G612" s="38"/>
      <c r="H612" s="38"/>
    </row>
    <row r="613" spans="1:8" ht="12.75">
      <c r="A613" s="36"/>
      <c r="B613" s="53"/>
      <c r="C613" s="54"/>
      <c r="D613" s="54"/>
      <c r="E613" s="55"/>
      <c r="F613" s="54"/>
      <c r="G613" s="38"/>
      <c r="H613" s="38"/>
    </row>
    <row r="614" spans="1:8" ht="12.75">
      <c r="A614" s="36"/>
      <c r="B614" s="53"/>
      <c r="C614" s="54"/>
      <c r="D614" s="54"/>
      <c r="E614" s="55"/>
      <c r="F614" s="54"/>
      <c r="G614" s="38"/>
      <c r="H614" s="38"/>
    </row>
    <row r="615" spans="1:8" ht="12.75">
      <c r="A615" s="36"/>
      <c r="B615" s="53"/>
      <c r="C615" s="54"/>
      <c r="D615" s="54"/>
      <c r="E615" s="55"/>
      <c r="F615" s="54"/>
      <c r="G615" s="38"/>
      <c r="H615" s="38"/>
    </row>
    <row r="616" spans="1:8" ht="12.75">
      <c r="A616" s="36"/>
      <c r="B616" s="53"/>
      <c r="C616" s="54"/>
      <c r="D616" s="54"/>
      <c r="E616" s="55"/>
      <c r="F616" s="54"/>
      <c r="G616" s="38"/>
      <c r="H616" s="38"/>
    </row>
    <row r="617" spans="1:8" ht="12.75">
      <c r="A617" s="36"/>
      <c r="B617" s="53"/>
      <c r="C617" s="54"/>
      <c r="D617" s="54"/>
      <c r="E617" s="55"/>
      <c r="F617" s="54"/>
      <c r="G617" s="38"/>
      <c r="H617" s="38"/>
    </row>
    <row r="618" spans="1:8" ht="12.75">
      <c r="A618" s="36"/>
      <c r="B618" s="53"/>
      <c r="C618" s="54"/>
      <c r="D618" s="54"/>
      <c r="E618" s="55"/>
      <c r="F618" s="54"/>
      <c r="G618" s="38"/>
      <c r="H618" s="38"/>
    </row>
    <row r="619" spans="1:8" ht="12.75">
      <c r="A619" s="36"/>
      <c r="B619" s="53"/>
      <c r="C619" s="54"/>
      <c r="D619" s="54"/>
      <c r="E619" s="55"/>
      <c r="F619" s="54"/>
      <c r="G619" s="38"/>
      <c r="H619" s="38"/>
    </row>
    <row r="620" spans="1:8" ht="12.75">
      <c r="A620" s="36"/>
      <c r="B620" s="53"/>
      <c r="C620" s="54"/>
      <c r="D620" s="54"/>
      <c r="E620" s="55"/>
      <c r="F620" s="54"/>
      <c r="G620" s="38"/>
      <c r="H620" s="38"/>
    </row>
    <row r="621" spans="1:8" ht="12.75">
      <c r="A621" s="36"/>
      <c r="B621" s="53"/>
      <c r="C621" s="54"/>
      <c r="D621" s="54"/>
      <c r="E621" s="55"/>
      <c r="F621" s="54"/>
      <c r="G621" s="38"/>
      <c r="H621" s="38"/>
    </row>
    <row r="622" spans="1:8" ht="12.75">
      <c r="A622" s="36"/>
      <c r="B622" s="53"/>
      <c r="C622" s="54"/>
      <c r="D622" s="54"/>
      <c r="E622" s="55"/>
      <c r="F622" s="54"/>
      <c r="G622" s="38"/>
      <c r="H622" s="38"/>
    </row>
    <row r="623" spans="1:8" ht="12.75">
      <c r="A623" s="36"/>
      <c r="B623" s="53"/>
      <c r="C623" s="54"/>
      <c r="D623" s="54"/>
      <c r="E623" s="55"/>
      <c r="F623" s="54"/>
      <c r="G623" s="38"/>
      <c r="H623" s="38"/>
    </row>
    <row r="624" spans="1:8" ht="12.75">
      <c r="A624" s="36"/>
      <c r="B624" s="53"/>
      <c r="C624" s="54"/>
      <c r="D624" s="54"/>
      <c r="E624" s="55"/>
      <c r="F624" s="54"/>
      <c r="G624" s="38"/>
      <c r="H624" s="38"/>
    </row>
    <row r="625" spans="1:8" ht="12.75">
      <c r="A625" s="36"/>
      <c r="B625" s="53"/>
      <c r="C625" s="54"/>
      <c r="D625" s="54"/>
      <c r="E625" s="55"/>
      <c r="F625" s="54"/>
      <c r="G625" s="38"/>
      <c r="H625" s="38"/>
    </row>
    <row r="626" spans="1:8" ht="12.75">
      <c r="A626" s="36"/>
      <c r="B626" s="53"/>
      <c r="C626" s="54"/>
      <c r="D626" s="54"/>
      <c r="E626" s="55"/>
      <c r="F626" s="54"/>
      <c r="G626" s="38"/>
      <c r="H626" s="38"/>
    </row>
    <row r="627" spans="1:8" ht="12.75">
      <c r="A627" s="36"/>
      <c r="B627" s="53"/>
      <c r="C627" s="54"/>
      <c r="D627" s="54"/>
      <c r="E627" s="55"/>
      <c r="F627" s="54"/>
      <c r="G627" s="38"/>
      <c r="H627" s="38"/>
    </row>
    <row r="628" spans="1:8" ht="12.75">
      <c r="A628" s="36"/>
      <c r="B628" s="53"/>
      <c r="C628" s="54"/>
      <c r="D628" s="54"/>
      <c r="E628" s="55"/>
      <c r="F628" s="54"/>
      <c r="G628" s="38"/>
      <c r="H628" s="38"/>
    </row>
    <row r="629" spans="1:8" ht="12.75">
      <c r="A629" s="36"/>
      <c r="B629" s="53"/>
      <c r="C629" s="54"/>
      <c r="D629" s="54"/>
      <c r="E629" s="55"/>
      <c r="F629" s="54"/>
      <c r="G629" s="38"/>
      <c r="H629" s="38"/>
    </row>
    <row r="630" spans="1:8" ht="12.75">
      <c r="A630" s="36"/>
      <c r="B630" s="53"/>
      <c r="C630" s="54"/>
      <c r="D630" s="54"/>
      <c r="E630" s="55"/>
      <c r="F630" s="54"/>
      <c r="G630" s="38"/>
      <c r="H630" s="38"/>
    </row>
    <row r="631" spans="1:8" ht="12.75">
      <c r="A631" s="36"/>
      <c r="B631" s="53"/>
      <c r="C631" s="54"/>
      <c r="D631" s="54"/>
      <c r="E631" s="55"/>
      <c r="F631" s="54"/>
      <c r="G631" s="38"/>
      <c r="H631" s="38"/>
    </row>
    <row r="632" spans="1:8" ht="12.75">
      <c r="A632" s="36"/>
      <c r="B632" s="53"/>
      <c r="C632" s="54"/>
      <c r="D632" s="54"/>
      <c r="E632" s="55"/>
      <c r="F632" s="54"/>
      <c r="G632" s="38"/>
      <c r="H632" s="38"/>
    </row>
    <row r="633" spans="1:8" ht="12.75">
      <c r="A633" s="36"/>
      <c r="B633" s="53"/>
      <c r="C633" s="54"/>
      <c r="D633" s="54"/>
      <c r="E633" s="55"/>
      <c r="F633" s="54"/>
      <c r="G633" s="38"/>
      <c r="H633" s="38"/>
    </row>
    <row r="634" spans="1:8" ht="12.75">
      <c r="A634" s="36"/>
      <c r="B634" s="53"/>
      <c r="C634" s="54"/>
      <c r="D634" s="54"/>
      <c r="E634" s="55"/>
      <c r="F634" s="54"/>
      <c r="G634" s="38"/>
      <c r="H634" s="38"/>
    </row>
    <row r="635" spans="1:8" ht="12.75">
      <c r="A635" s="36"/>
      <c r="B635" s="53"/>
      <c r="C635" s="54"/>
      <c r="D635" s="54"/>
      <c r="E635" s="55"/>
      <c r="F635" s="54"/>
      <c r="G635" s="38"/>
      <c r="H635" s="38"/>
    </row>
    <row r="636" spans="1:8" ht="12.75">
      <c r="A636" s="36"/>
      <c r="B636" s="53"/>
      <c r="C636" s="54"/>
      <c r="D636" s="54"/>
      <c r="E636" s="55"/>
      <c r="F636" s="54"/>
      <c r="G636" s="38"/>
      <c r="H636" s="38"/>
    </row>
    <row r="637" spans="1:8" ht="12.75">
      <c r="A637" s="36"/>
      <c r="B637" s="53"/>
      <c r="C637" s="54"/>
      <c r="D637" s="54"/>
      <c r="E637" s="55"/>
      <c r="F637" s="54"/>
      <c r="G637" s="38"/>
      <c r="H637" s="38"/>
    </row>
    <row r="638" spans="1:8" ht="12.75">
      <c r="A638" s="36"/>
      <c r="B638" s="53"/>
      <c r="C638" s="54"/>
      <c r="D638" s="54"/>
      <c r="E638" s="55"/>
      <c r="F638" s="54"/>
      <c r="G638" s="38"/>
      <c r="H638" s="38"/>
    </row>
    <row r="639" spans="1:8" ht="12.75">
      <c r="A639" s="36"/>
      <c r="B639" s="53"/>
      <c r="C639" s="54"/>
      <c r="D639" s="54"/>
      <c r="E639" s="55"/>
      <c r="F639" s="54"/>
      <c r="G639" s="38"/>
      <c r="H639" s="38"/>
    </row>
    <row r="640" spans="1:8" ht="12.75">
      <c r="A640" s="36"/>
      <c r="B640" s="53"/>
      <c r="C640" s="54"/>
      <c r="D640" s="54"/>
      <c r="E640" s="55"/>
      <c r="F640" s="54"/>
      <c r="G640" s="38"/>
      <c r="H640" s="38"/>
    </row>
    <row r="641" spans="1:8" ht="12.75">
      <c r="A641" s="36"/>
      <c r="B641" s="53"/>
      <c r="C641" s="54"/>
      <c r="D641" s="54"/>
      <c r="E641" s="55"/>
      <c r="F641" s="54"/>
      <c r="G641" s="38"/>
      <c r="H641" s="38"/>
    </row>
    <row r="642" spans="1:8" ht="12.75">
      <c r="A642" s="36"/>
      <c r="B642" s="53"/>
      <c r="C642" s="54"/>
      <c r="D642" s="54"/>
      <c r="E642" s="55"/>
      <c r="F642" s="54"/>
      <c r="G642" s="38"/>
      <c r="H642" s="38"/>
    </row>
    <row r="643" spans="1:8" ht="12.75">
      <c r="A643" s="36"/>
      <c r="B643" s="53"/>
      <c r="C643" s="54"/>
      <c r="D643" s="54"/>
      <c r="E643" s="55"/>
      <c r="F643" s="54"/>
      <c r="G643" s="38"/>
      <c r="H643" s="38"/>
    </row>
    <row r="644" spans="1:8" ht="12.75">
      <c r="A644" s="36"/>
      <c r="B644" s="53"/>
      <c r="C644" s="54"/>
      <c r="D644" s="54"/>
      <c r="E644" s="55"/>
      <c r="F644" s="54"/>
      <c r="G644" s="38"/>
      <c r="H644" s="38"/>
    </row>
    <row r="645" spans="1:8" ht="12.75">
      <c r="A645" s="36"/>
      <c r="B645" s="53"/>
      <c r="C645" s="54"/>
      <c r="D645" s="54"/>
      <c r="E645" s="55"/>
      <c r="F645" s="54"/>
      <c r="G645" s="38"/>
      <c r="H645" s="38"/>
    </row>
    <row r="646" spans="1:8" ht="12.75">
      <c r="A646" s="36"/>
      <c r="B646" s="53"/>
      <c r="C646" s="54"/>
      <c r="D646" s="54"/>
      <c r="E646" s="55"/>
      <c r="F646" s="54"/>
      <c r="G646" s="38"/>
      <c r="H646" s="38"/>
    </row>
    <row r="647" spans="1:8" ht="12.75">
      <c r="A647" s="36"/>
      <c r="B647" s="53"/>
      <c r="C647" s="54"/>
      <c r="D647" s="54"/>
      <c r="E647" s="55"/>
      <c r="F647" s="54"/>
      <c r="G647" s="38"/>
      <c r="H647" s="38"/>
    </row>
    <row r="648" spans="1:8" ht="12.75">
      <c r="A648" s="36"/>
      <c r="B648" s="53"/>
      <c r="C648" s="54"/>
      <c r="D648" s="54"/>
      <c r="E648" s="55"/>
      <c r="F648" s="54"/>
      <c r="G648" s="38"/>
      <c r="H648" s="38"/>
    </row>
    <row r="649" spans="1:8" ht="12.75">
      <c r="A649" s="36"/>
      <c r="B649" s="53"/>
      <c r="C649" s="54"/>
      <c r="D649" s="54"/>
      <c r="E649" s="55"/>
      <c r="F649" s="54"/>
      <c r="G649" s="38"/>
      <c r="H649" s="38"/>
    </row>
    <row r="650" spans="1:8" ht="12.75">
      <c r="A650" s="36"/>
      <c r="B650" s="53"/>
      <c r="C650" s="54"/>
      <c r="D650" s="54"/>
      <c r="E650" s="55"/>
      <c r="F650" s="54"/>
      <c r="G650" s="38"/>
      <c r="H650" s="38"/>
    </row>
    <row r="651" spans="1:8" ht="12.75">
      <c r="A651" s="36"/>
      <c r="B651" s="53"/>
      <c r="C651" s="54"/>
      <c r="D651" s="54"/>
      <c r="E651" s="55"/>
      <c r="F651" s="54"/>
      <c r="G651" s="38"/>
      <c r="H651" s="38"/>
    </row>
    <row r="652" spans="1:8" ht="12.75">
      <c r="A652" s="36"/>
      <c r="B652" s="53"/>
      <c r="C652" s="54"/>
      <c r="D652" s="54"/>
      <c r="E652" s="55"/>
      <c r="F652" s="54"/>
      <c r="G652" s="38"/>
      <c r="H652" s="38"/>
    </row>
    <row r="653" spans="1:8" ht="12.75">
      <c r="A653" s="36"/>
      <c r="B653" s="53"/>
      <c r="C653" s="54"/>
      <c r="D653" s="54"/>
      <c r="E653" s="55"/>
      <c r="F653" s="54"/>
      <c r="G653" s="38"/>
      <c r="H653" s="38"/>
    </row>
    <row r="654" spans="1:8" ht="12.75">
      <c r="A654" s="36"/>
      <c r="B654" s="53"/>
      <c r="C654" s="54"/>
      <c r="D654" s="54"/>
      <c r="E654" s="55"/>
      <c r="F654" s="54"/>
      <c r="G654" s="38"/>
      <c r="H654" s="38"/>
    </row>
    <row r="655" spans="1:8" ht="12.75">
      <c r="A655" s="36"/>
      <c r="B655" s="53"/>
      <c r="C655" s="54"/>
      <c r="D655" s="54"/>
      <c r="E655" s="55"/>
      <c r="F655" s="54"/>
      <c r="G655" s="38"/>
      <c r="H655" s="38"/>
    </row>
    <row r="656" spans="1:8" ht="12.75">
      <c r="A656" s="36"/>
      <c r="B656" s="53"/>
      <c r="C656" s="54"/>
      <c r="D656" s="54"/>
      <c r="E656" s="55"/>
      <c r="F656" s="54"/>
      <c r="G656" s="38"/>
      <c r="H656" s="38"/>
    </row>
    <row r="657" spans="1:8" ht="12.75">
      <c r="A657" s="36"/>
      <c r="B657" s="53"/>
      <c r="C657" s="54"/>
      <c r="D657" s="54"/>
      <c r="E657" s="55"/>
      <c r="F657" s="54"/>
      <c r="G657" s="38"/>
      <c r="H657" s="38"/>
    </row>
    <row r="658" spans="1:8" ht="12.75">
      <c r="A658" s="36"/>
      <c r="B658" s="53"/>
      <c r="C658" s="54"/>
      <c r="D658" s="54"/>
      <c r="E658" s="55"/>
      <c r="F658" s="54"/>
      <c r="G658" s="38"/>
      <c r="H658" s="38"/>
    </row>
    <row r="659" spans="1:8" ht="12.75">
      <c r="A659" s="36"/>
      <c r="B659" s="53"/>
      <c r="C659" s="54"/>
      <c r="D659" s="54"/>
      <c r="E659" s="55"/>
      <c r="F659" s="54"/>
      <c r="G659" s="38"/>
      <c r="H659" s="38"/>
    </row>
    <row r="660" spans="1:8" ht="12.75">
      <c r="A660" s="36"/>
      <c r="B660" s="53"/>
      <c r="C660" s="54"/>
      <c r="D660" s="54"/>
      <c r="E660" s="55"/>
      <c r="F660" s="54"/>
      <c r="G660" s="38"/>
      <c r="H660" s="38"/>
    </row>
    <row r="661" spans="1:8" ht="12.75">
      <c r="A661" s="36"/>
      <c r="B661" s="53"/>
      <c r="C661" s="54"/>
      <c r="D661" s="54"/>
      <c r="E661" s="55"/>
      <c r="F661" s="54"/>
      <c r="G661" s="38"/>
      <c r="H661" s="38"/>
    </row>
    <row r="662" spans="1:8" ht="12.75">
      <c r="A662" s="36"/>
      <c r="B662" s="53"/>
      <c r="C662" s="54"/>
      <c r="D662" s="54"/>
      <c r="E662" s="55"/>
      <c r="F662" s="54"/>
      <c r="G662" s="38"/>
      <c r="H662" s="38"/>
    </row>
    <row r="663" spans="1:8" ht="12.75">
      <c r="A663" s="36"/>
      <c r="B663" s="53"/>
      <c r="C663" s="54"/>
      <c r="D663" s="54"/>
      <c r="E663" s="55"/>
      <c r="F663" s="54"/>
      <c r="G663" s="38"/>
      <c r="H663" s="38"/>
    </row>
    <row r="664" spans="1:8" ht="12.75">
      <c r="A664" s="36"/>
      <c r="B664" s="53"/>
      <c r="C664" s="54"/>
      <c r="D664" s="54"/>
      <c r="E664" s="55"/>
      <c r="F664" s="54"/>
      <c r="G664" s="38"/>
      <c r="H664" s="38"/>
    </row>
    <row r="665" spans="1:8" ht="12.75">
      <c r="A665" s="36"/>
      <c r="B665" s="53"/>
      <c r="C665" s="54"/>
      <c r="D665" s="54"/>
      <c r="E665" s="55"/>
      <c r="F665" s="54"/>
      <c r="G665" s="38"/>
      <c r="H665" s="38"/>
    </row>
    <row r="666" spans="1:8" ht="12.75">
      <c r="A666" s="36"/>
      <c r="B666" s="53"/>
      <c r="C666" s="54"/>
      <c r="D666" s="54"/>
      <c r="E666" s="55"/>
      <c r="F666" s="54"/>
      <c r="G666" s="38"/>
      <c r="H666" s="38"/>
    </row>
    <row r="667" spans="1:8" ht="12.75">
      <c r="A667" s="36"/>
      <c r="B667" s="53"/>
      <c r="C667" s="54"/>
      <c r="D667" s="54"/>
      <c r="E667" s="55"/>
      <c r="F667" s="54"/>
      <c r="G667" s="38"/>
      <c r="H667" s="38"/>
    </row>
    <row r="668" spans="1:8" ht="12.75">
      <c r="A668" s="36"/>
      <c r="B668" s="53"/>
      <c r="C668" s="54"/>
      <c r="D668" s="54"/>
      <c r="E668" s="55"/>
      <c r="F668" s="54"/>
      <c r="G668" s="38"/>
      <c r="H668" s="38"/>
    </row>
    <row r="669" spans="1:8" ht="12.75">
      <c r="A669" s="36"/>
      <c r="B669" s="53"/>
      <c r="C669" s="54"/>
      <c r="D669" s="54"/>
      <c r="E669" s="55"/>
      <c r="F669" s="54"/>
      <c r="G669" s="38"/>
      <c r="H669" s="38"/>
    </row>
    <row r="670" spans="1:8" ht="12.75">
      <c r="A670" s="36"/>
      <c r="B670" s="53"/>
      <c r="C670" s="54"/>
      <c r="D670" s="54"/>
      <c r="E670" s="55"/>
      <c r="F670" s="54"/>
      <c r="G670" s="38"/>
      <c r="H670" s="38"/>
    </row>
    <row r="671" spans="1:8" ht="12.75">
      <c r="A671" s="36"/>
      <c r="B671" s="53"/>
      <c r="C671" s="54"/>
      <c r="D671" s="54"/>
      <c r="E671" s="55"/>
      <c r="F671" s="54"/>
      <c r="G671" s="38"/>
      <c r="H671" s="38"/>
    </row>
    <row r="672" spans="1:8" ht="12.75">
      <c r="A672" s="36"/>
      <c r="B672" s="53"/>
      <c r="C672" s="54"/>
      <c r="D672" s="54"/>
      <c r="E672" s="55"/>
      <c r="F672" s="54"/>
      <c r="G672" s="38"/>
      <c r="H672" s="38"/>
    </row>
    <row r="673" spans="1:8" ht="12.75">
      <c r="A673" s="36"/>
      <c r="B673" s="53"/>
      <c r="C673" s="54"/>
      <c r="D673" s="54"/>
      <c r="E673" s="55"/>
      <c r="F673" s="54"/>
      <c r="G673" s="38"/>
      <c r="H673" s="38"/>
    </row>
    <row r="674" spans="1:8" ht="12.75">
      <c r="A674" s="36"/>
      <c r="B674" s="53"/>
      <c r="C674" s="54"/>
      <c r="D674" s="54"/>
      <c r="E674" s="55"/>
      <c r="F674" s="54"/>
      <c r="G674" s="38"/>
      <c r="H674" s="38"/>
    </row>
    <row r="675" spans="1:8" ht="12.75">
      <c r="A675" s="36"/>
      <c r="B675" s="53"/>
      <c r="C675" s="54"/>
      <c r="D675" s="54"/>
      <c r="E675" s="55"/>
      <c r="F675" s="54"/>
      <c r="G675" s="38"/>
      <c r="H675" s="38"/>
    </row>
    <row r="676" spans="1:8" ht="12.75">
      <c r="A676" s="36"/>
      <c r="B676" s="53"/>
      <c r="C676" s="54"/>
      <c r="D676" s="54"/>
      <c r="E676" s="55"/>
      <c r="F676" s="54"/>
      <c r="G676" s="38"/>
      <c r="H676" s="38"/>
    </row>
    <row r="677" spans="1:8" ht="12.75">
      <c r="A677" s="36"/>
      <c r="B677" s="53"/>
      <c r="C677" s="54"/>
      <c r="D677" s="54"/>
      <c r="E677" s="55"/>
      <c r="F677" s="54"/>
      <c r="G677" s="38"/>
      <c r="H677" s="38"/>
    </row>
    <row r="678" spans="1:8" ht="12.75">
      <c r="A678" s="36"/>
      <c r="B678" s="53"/>
      <c r="C678" s="54"/>
      <c r="D678" s="54"/>
      <c r="E678" s="55"/>
      <c r="F678" s="54"/>
      <c r="G678" s="38"/>
      <c r="H678" s="38"/>
    </row>
    <row r="679" spans="1:8" ht="12.75">
      <c r="A679" s="36"/>
      <c r="B679" s="53"/>
      <c r="C679" s="54"/>
      <c r="D679" s="54"/>
      <c r="E679" s="55"/>
      <c r="F679" s="54"/>
      <c r="G679" s="38"/>
      <c r="H679" s="38"/>
    </row>
    <row r="680" spans="1:8" ht="12.75">
      <c r="A680" s="36"/>
      <c r="B680" s="53"/>
      <c r="C680" s="54"/>
      <c r="D680" s="54"/>
      <c r="E680" s="55"/>
      <c r="F680" s="54"/>
      <c r="G680" s="38"/>
      <c r="H680" s="38"/>
    </row>
    <row r="681" spans="1:8" ht="12.75">
      <c r="A681" s="36"/>
      <c r="B681" s="53"/>
      <c r="C681" s="54"/>
      <c r="D681" s="54"/>
      <c r="E681" s="55"/>
      <c r="F681" s="54"/>
      <c r="G681" s="38"/>
      <c r="H681" s="38"/>
    </row>
    <row r="682" spans="1:8" ht="12.75">
      <c r="A682" s="36"/>
      <c r="B682" s="53"/>
      <c r="C682" s="54"/>
      <c r="D682" s="54"/>
      <c r="E682" s="55"/>
      <c r="F682" s="54"/>
      <c r="G682" s="38"/>
      <c r="H682" s="38"/>
    </row>
    <row r="683" spans="1:8" ht="12.75">
      <c r="A683" s="36"/>
      <c r="B683" s="53"/>
      <c r="C683" s="54"/>
      <c r="D683" s="54"/>
      <c r="E683" s="55"/>
      <c r="F683" s="54"/>
      <c r="G683" s="38"/>
      <c r="H683" s="38"/>
    </row>
    <row r="684" spans="1:8" ht="12.75">
      <c r="A684" s="36"/>
      <c r="B684" s="53"/>
      <c r="C684" s="54"/>
      <c r="D684" s="54"/>
      <c r="E684" s="55"/>
      <c r="F684" s="54"/>
      <c r="G684" s="38"/>
      <c r="H684" s="38"/>
    </row>
    <row r="685" spans="1:8" ht="12.75">
      <c r="A685" s="36"/>
      <c r="B685" s="53"/>
      <c r="C685" s="54"/>
      <c r="D685" s="54"/>
      <c r="E685" s="55"/>
      <c r="F685" s="54"/>
      <c r="G685" s="38"/>
      <c r="H685" s="38"/>
    </row>
    <row r="686" spans="1:8" ht="12.75">
      <c r="A686" s="36"/>
      <c r="B686" s="53"/>
      <c r="C686" s="54"/>
      <c r="D686" s="54"/>
      <c r="E686" s="55"/>
      <c r="F686" s="54"/>
      <c r="G686" s="38"/>
      <c r="H686" s="38"/>
    </row>
    <row r="687" spans="1:8" ht="12.75">
      <c r="A687" s="36"/>
      <c r="B687" s="53"/>
      <c r="C687" s="54"/>
      <c r="D687" s="54"/>
      <c r="E687" s="55"/>
      <c r="F687" s="54"/>
      <c r="G687" s="38"/>
      <c r="H687" s="38"/>
    </row>
    <row r="688" spans="1:8" ht="12.75">
      <c r="A688" s="36"/>
      <c r="B688" s="53"/>
      <c r="C688" s="54"/>
      <c r="D688" s="54"/>
      <c r="E688" s="55"/>
      <c r="F688" s="54"/>
      <c r="G688" s="38"/>
      <c r="H688" s="38"/>
    </row>
    <row r="689" spans="1:8" ht="12.75">
      <c r="A689" s="36"/>
      <c r="B689" s="53"/>
      <c r="C689" s="54"/>
      <c r="D689" s="54"/>
      <c r="E689" s="55"/>
      <c r="F689" s="54"/>
      <c r="G689" s="38"/>
      <c r="H689" s="38"/>
    </row>
    <row r="690" spans="1:8" ht="12.75">
      <c r="A690" s="36"/>
      <c r="B690" s="53"/>
      <c r="C690" s="54"/>
      <c r="D690" s="54"/>
      <c r="E690" s="55"/>
      <c r="F690" s="54"/>
      <c r="G690" s="38"/>
      <c r="H690" s="38"/>
    </row>
    <row r="691" spans="1:8" ht="12.75">
      <c r="A691" s="36"/>
      <c r="B691" s="53"/>
      <c r="C691" s="54"/>
      <c r="D691" s="54"/>
      <c r="E691" s="55"/>
      <c r="F691" s="54"/>
      <c r="G691" s="38"/>
      <c r="H691" s="38"/>
    </row>
    <row r="692" spans="1:8" ht="12.75">
      <c r="A692" s="36"/>
      <c r="B692" s="53"/>
      <c r="C692" s="54"/>
      <c r="D692" s="54"/>
      <c r="E692" s="55"/>
      <c r="F692" s="54"/>
      <c r="G692" s="38"/>
      <c r="H692" s="38"/>
    </row>
    <row r="693" spans="1:8" ht="12.75">
      <c r="A693" s="36"/>
      <c r="B693" s="53"/>
      <c r="C693" s="54"/>
      <c r="D693" s="54"/>
      <c r="E693" s="55"/>
      <c r="F693" s="54"/>
      <c r="G693" s="38"/>
      <c r="H693" s="38"/>
    </row>
    <row r="694" spans="1:8" ht="12.75">
      <c r="A694" s="36"/>
      <c r="B694" s="53"/>
      <c r="C694" s="54"/>
      <c r="D694" s="54"/>
      <c r="E694" s="55"/>
      <c r="F694" s="54"/>
      <c r="G694" s="38"/>
      <c r="H694" s="38"/>
    </row>
    <row r="695" spans="1:8" ht="12.75">
      <c r="A695" s="36"/>
      <c r="B695" s="53"/>
      <c r="C695" s="54"/>
      <c r="D695" s="54"/>
      <c r="E695" s="55"/>
      <c r="F695" s="54"/>
      <c r="G695" s="38"/>
      <c r="H695" s="38"/>
    </row>
    <row r="696" spans="1:8" ht="12.75">
      <c r="A696" s="36"/>
      <c r="B696" s="53"/>
      <c r="C696" s="54"/>
      <c r="D696" s="54"/>
      <c r="E696" s="55"/>
      <c r="F696" s="54"/>
      <c r="G696" s="38"/>
      <c r="H696" s="38"/>
    </row>
    <row r="697" spans="1:8" ht="12.75">
      <c r="A697" s="36"/>
      <c r="B697" s="53"/>
      <c r="C697" s="54"/>
      <c r="D697" s="54"/>
      <c r="E697" s="55"/>
      <c r="F697" s="54"/>
      <c r="G697" s="38"/>
      <c r="H697" s="38"/>
    </row>
    <row r="698" spans="1:8" ht="12.75">
      <c r="A698" s="36"/>
      <c r="B698" s="53"/>
      <c r="C698" s="54"/>
      <c r="D698" s="54"/>
      <c r="E698" s="55"/>
      <c r="F698" s="54"/>
      <c r="G698" s="38"/>
      <c r="H698" s="38"/>
    </row>
    <row r="699" spans="1:8" ht="12.75">
      <c r="A699" s="36"/>
      <c r="B699" s="53"/>
      <c r="C699" s="54"/>
      <c r="D699" s="54"/>
      <c r="E699" s="55"/>
      <c r="F699" s="54"/>
      <c r="G699" s="38"/>
      <c r="H699" s="38"/>
    </row>
    <row r="700" spans="1:8" ht="12.75">
      <c r="A700" s="36"/>
      <c r="B700" s="53"/>
      <c r="C700" s="54"/>
      <c r="D700" s="54"/>
      <c r="E700" s="55"/>
      <c r="F700" s="54"/>
      <c r="G700" s="38"/>
      <c r="H700" s="38"/>
    </row>
    <row r="701" spans="1:8" ht="12.75">
      <c r="A701" s="36"/>
      <c r="B701" s="53"/>
      <c r="C701" s="54"/>
      <c r="D701" s="54"/>
      <c r="E701" s="55"/>
      <c r="F701" s="54"/>
      <c r="G701" s="38"/>
      <c r="H701" s="38"/>
    </row>
    <row r="702" spans="1:8" ht="12.75">
      <c r="A702" s="36"/>
      <c r="B702" s="53"/>
      <c r="C702" s="54"/>
      <c r="D702" s="54"/>
      <c r="E702" s="55"/>
      <c r="F702" s="54"/>
      <c r="G702" s="38"/>
      <c r="H702" s="38"/>
    </row>
    <row r="703" spans="1:8" ht="12.75">
      <c r="A703" s="36"/>
      <c r="B703" s="53"/>
      <c r="C703" s="54"/>
      <c r="D703" s="54"/>
      <c r="E703" s="55"/>
      <c r="F703" s="54"/>
      <c r="G703" s="38"/>
      <c r="H703" s="38"/>
    </row>
    <row r="704" spans="1:8" ht="12.75">
      <c r="A704" s="36"/>
      <c r="B704" s="53"/>
      <c r="C704" s="54"/>
      <c r="D704" s="54"/>
      <c r="E704" s="55"/>
      <c r="F704" s="54"/>
      <c r="G704" s="38"/>
      <c r="H704" s="38"/>
    </row>
    <row r="705" spans="1:8" ht="12.75">
      <c r="A705" s="36"/>
      <c r="B705" s="53"/>
      <c r="C705" s="54"/>
      <c r="D705" s="54"/>
      <c r="E705" s="55"/>
      <c r="F705" s="54"/>
      <c r="G705" s="38"/>
      <c r="H705" s="38"/>
    </row>
    <row r="706" spans="1:8" ht="12.75">
      <c r="A706" s="36"/>
      <c r="B706" s="53"/>
      <c r="C706" s="54"/>
      <c r="D706" s="54"/>
      <c r="E706" s="55"/>
      <c r="F706" s="54"/>
      <c r="G706" s="38"/>
      <c r="H706" s="38"/>
    </row>
    <row r="707" spans="1:8" ht="12.75">
      <c r="A707" s="36"/>
      <c r="B707" s="53"/>
      <c r="C707" s="54"/>
      <c r="D707" s="54"/>
      <c r="E707" s="55"/>
      <c r="F707" s="54"/>
      <c r="G707" s="38"/>
      <c r="H707" s="38"/>
    </row>
    <row r="708" spans="1:8" ht="12.75">
      <c r="A708" s="36"/>
      <c r="B708" s="53"/>
      <c r="C708" s="54"/>
      <c r="D708" s="54"/>
      <c r="E708" s="55"/>
      <c r="F708" s="54"/>
      <c r="G708" s="38"/>
      <c r="H708" s="38"/>
    </row>
    <row r="709" spans="1:8" ht="12.75">
      <c r="A709" s="36"/>
      <c r="B709" s="53"/>
      <c r="C709" s="54"/>
      <c r="D709" s="54"/>
      <c r="E709" s="55"/>
      <c r="F709" s="54"/>
      <c r="G709" s="38"/>
      <c r="H709" s="38"/>
    </row>
    <row r="710" spans="1:8" ht="12.75">
      <c r="A710" s="36"/>
      <c r="B710" s="53"/>
      <c r="C710" s="54"/>
      <c r="D710" s="54"/>
      <c r="E710" s="55"/>
      <c r="F710" s="54"/>
      <c r="G710" s="38"/>
      <c r="H710" s="38"/>
    </row>
    <row r="711" spans="1:8" ht="12.75">
      <c r="A711" s="36"/>
      <c r="B711" s="53"/>
      <c r="C711" s="54"/>
      <c r="D711" s="54"/>
      <c r="E711" s="55"/>
      <c r="F711" s="54"/>
      <c r="G711" s="38"/>
      <c r="H711" s="38"/>
    </row>
    <row r="712" spans="1:8" ht="12.75">
      <c r="A712" s="36"/>
      <c r="B712" s="53"/>
      <c r="C712" s="54"/>
      <c r="D712" s="54"/>
      <c r="E712" s="55"/>
      <c r="F712" s="54"/>
      <c r="G712" s="38"/>
      <c r="H712" s="38"/>
    </row>
    <row r="713" spans="1:8" ht="12.75">
      <c r="A713" s="36"/>
      <c r="B713" s="53"/>
      <c r="C713" s="54"/>
      <c r="D713" s="54"/>
      <c r="E713" s="55"/>
      <c r="F713" s="54"/>
      <c r="G713" s="38"/>
      <c r="H713" s="38"/>
    </row>
    <row r="714" spans="1:8" ht="12.75">
      <c r="A714" s="36"/>
      <c r="B714" s="53"/>
      <c r="C714" s="54"/>
      <c r="D714" s="54"/>
      <c r="E714" s="55"/>
      <c r="F714" s="54"/>
      <c r="G714" s="38"/>
      <c r="H714" s="38"/>
    </row>
    <row r="715" spans="1:8" ht="12.75">
      <c r="A715" s="36"/>
      <c r="B715" s="53"/>
      <c r="C715" s="54"/>
      <c r="D715" s="54"/>
      <c r="E715" s="55"/>
      <c r="F715" s="54"/>
      <c r="G715" s="38"/>
      <c r="H715" s="38"/>
    </row>
    <row r="716" spans="1:8" ht="12.75">
      <c r="A716" s="36"/>
      <c r="B716" s="53"/>
      <c r="C716" s="54"/>
      <c r="D716" s="54"/>
      <c r="E716" s="55"/>
      <c r="F716" s="54"/>
      <c r="G716" s="38"/>
      <c r="H716" s="38"/>
    </row>
    <row r="717" spans="1:8" ht="12.75">
      <c r="A717" s="36"/>
      <c r="B717" s="53"/>
      <c r="C717" s="54"/>
      <c r="D717" s="54"/>
      <c r="E717" s="55"/>
      <c r="F717" s="54"/>
      <c r="G717" s="38"/>
      <c r="H717" s="38"/>
    </row>
    <row r="718" spans="1:8" ht="12.75">
      <c r="A718" s="36"/>
      <c r="B718" s="53"/>
      <c r="C718" s="54"/>
      <c r="D718" s="54"/>
      <c r="E718" s="55"/>
      <c r="F718" s="54"/>
      <c r="G718" s="38"/>
      <c r="H718" s="38"/>
    </row>
    <row r="719" spans="1:8" ht="12.75">
      <c r="A719" s="36"/>
      <c r="B719" s="53"/>
      <c r="C719" s="54"/>
      <c r="D719" s="54"/>
      <c r="E719" s="55"/>
      <c r="F719" s="54"/>
      <c r="G719" s="38"/>
      <c r="H719" s="38"/>
    </row>
    <row r="720" spans="1:8" ht="12.75">
      <c r="A720" s="36"/>
      <c r="B720" s="53"/>
      <c r="C720" s="54"/>
      <c r="D720" s="54"/>
      <c r="E720" s="55"/>
      <c r="F720" s="54"/>
      <c r="G720" s="38"/>
      <c r="H720" s="38"/>
    </row>
    <row r="721" spans="1:8" ht="12.75">
      <c r="A721" s="36"/>
      <c r="B721" s="53"/>
      <c r="C721" s="54"/>
      <c r="D721" s="54"/>
      <c r="E721" s="55"/>
      <c r="F721" s="54"/>
      <c r="G721" s="38"/>
      <c r="H721" s="38"/>
    </row>
    <row r="722" spans="1:8" ht="12.75">
      <c r="A722" s="36"/>
      <c r="B722" s="53"/>
      <c r="C722" s="54"/>
      <c r="D722" s="54"/>
      <c r="E722" s="55"/>
      <c r="F722" s="54"/>
      <c r="G722" s="38"/>
      <c r="H722" s="38"/>
    </row>
    <row r="723" spans="1:8" ht="12.75">
      <c r="A723" s="36"/>
      <c r="B723" s="53"/>
      <c r="C723" s="54"/>
      <c r="D723" s="54"/>
      <c r="E723" s="55"/>
      <c r="F723" s="54"/>
      <c r="G723" s="38"/>
      <c r="H723" s="38"/>
    </row>
    <row r="724" spans="1:8" ht="12.75">
      <c r="A724" s="36"/>
      <c r="B724" s="53"/>
      <c r="C724" s="54"/>
      <c r="D724" s="54"/>
      <c r="E724" s="55"/>
      <c r="F724" s="54"/>
      <c r="G724" s="38"/>
      <c r="H724" s="38"/>
    </row>
    <row r="725" spans="1:8" ht="12.75">
      <c r="A725" s="36"/>
      <c r="B725" s="53"/>
      <c r="C725" s="54"/>
      <c r="D725" s="54"/>
      <c r="E725" s="55"/>
      <c r="F725" s="54"/>
      <c r="G725" s="38"/>
      <c r="H725" s="38"/>
    </row>
    <row r="726" spans="1:8" ht="12.75">
      <c r="A726" s="36"/>
      <c r="B726" s="53"/>
      <c r="C726" s="54"/>
      <c r="D726" s="54"/>
      <c r="E726" s="55"/>
      <c r="F726" s="54"/>
      <c r="G726" s="38"/>
      <c r="H726" s="38"/>
    </row>
    <row r="727" spans="1:8" ht="12.75">
      <c r="A727" s="36"/>
      <c r="B727" s="53"/>
      <c r="C727" s="54"/>
      <c r="D727" s="54"/>
      <c r="E727" s="55"/>
      <c r="F727" s="54"/>
      <c r="G727" s="38"/>
      <c r="H727" s="38"/>
    </row>
    <row r="728" spans="1:8" ht="12.75">
      <c r="A728" s="36"/>
      <c r="B728" s="53"/>
      <c r="C728" s="54"/>
      <c r="D728" s="54"/>
      <c r="E728" s="55"/>
      <c r="F728" s="54"/>
      <c r="G728" s="38"/>
      <c r="H728" s="38"/>
    </row>
    <row r="729" spans="1:8" ht="12.75">
      <c r="A729" s="36"/>
      <c r="B729" s="53"/>
      <c r="C729" s="54"/>
      <c r="D729" s="54"/>
      <c r="E729" s="55"/>
      <c r="F729" s="54"/>
      <c r="G729" s="38"/>
      <c r="H729" s="38"/>
    </row>
    <row r="730" spans="1:8" ht="12.75">
      <c r="A730" s="36"/>
      <c r="B730" s="53"/>
      <c r="C730" s="54"/>
      <c r="D730" s="54"/>
      <c r="E730" s="55"/>
      <c r="F730" s="54"/>
      <c r="G730" s="38"/>
      <c r="H730" s="38"/>
    </row>
    <row r="731" spans="1:8" ht="12.75">
      <c r="A731" s="36"/>
      <c r="B731" s="53"/>
      <c r="C731" s="54"/>
      <c r="D731" s="54"/>
      <c r="E731" s="55"/>
      <c r="F731" s="54"/>
      <c r="G731" s="38"/>
      <c r="H731" s="38"/>
    </row>
    <row r="732" spans="1:8" ht="12.75">
      <c r="A732" s="36"/>
      <c r="B732" s="53"/>
      <c r="C732" s="54"/>
      <c r="D732" s="54"/>
      <c r="E732" s="55"/>
      <c r="F732" s="54"/>
      <c r="G732" s="38"/>
      <c r="H732" s="38"/>
    </row>
    <row r="733" spans="1:8" ht="12.75">
      <c r="A733" s="36"/>
      <c r="B733" s="53"/>
      <c r="C733" s="54"/>
      <c r="D733" s="54"/>
      <c r="E733" s="55"/>
      <c r="F733" s="54"/>
      <c r="G733" s="38"/>
      <c r="H733" s="38"/>
    </row>
    <row r="734" spans="1:8" ht="12.75">
      <c r="A734" s="36"/>
      <c r="B734" s="53"/>
      <c r="C734" s="54"/>
      <c r="D734" s="54"/>
      <c r="E734" s="55"/>
      <c r="F734" s="54"/>
      <c r="G734" s="38"/>
      <c r="H734" s="38"/>
    </row>
    <row r="735" spans="1:8" ht="12.75">
      <c r="A735" s="36"/>
      <c r="B735" s="53"/>
      <c r="C735" s="54"/>
      <c r="D735" s="54"/>
      <c r="E735" s="55"/>
      <c r="F735" s="54"/>
      <c r="G735" s="38"/>
      <c r="H735" s="38"/>
    </row>
    <row r="736" spans="1:8" ht="12.75">
      <c r="A736" s="36"/>
      <c r="B736" s="53"/>
      <c r="C736" s="54"/>
      <c r="D736" s="54"/>
      <c r="E736" s="55"/>
      <c r="F736" s="54"/>
      <c r="G736" s="38"/>
      <c r="H736" s="38"/>
    </row>
    <row r="737" spans="1:8" ht="12.75">
      <c r="A737" s="36"/>
      <c r="B737" s="53"/>
      <c r="C737" s="54"/>
      <c r="D737" s="54"/>
      <c r="E737" s="55"/>
      <c r="F737" s="54"/>
      <c r="G737" s="38"/>
      <c r="H737" s="38"/>
    </row>
    <row r="738" spans="1:8" ht="12.75">
      <c r="A738" s="36"/>
      <c r="B738" s="53"/>
      <c r="C738" s="54"/>
      <c r="D738" s="54"/>
      <c r="E738" s="55"/>
      <c r="F738" s="54"/>
      <c r="G738" s="38"/>
      <c r="H738" s="38"/>
    </row>
    <row r="739" spans="1:8" ht="12.75">
      <c r="A739" s="36"/>
      <c r="B739" s="53"/>
      <c r="C739" s="54"/>
      <c r="D739" s="54"/>
      <c r="E739" s="55"/>
      <c r="F739" s="54"/>
      <c r="G739" s="38"/>
      <c r="H739" s="38"/>
    </row>
    <row r="740" spans="1:8" ht="12.75">
      <c r="A740" s="36"/>
      <c r="B740" s="53"/>
      <c r="C740" s="54"/>
      <c r="D740" s="54"/>
      <c r="E740" s="55"/>
      <c r="F740" s="54"/>
      <c r="G740" s="38"/>
      <c r="H740" s="38"/>
    </row>
    <row r="741" spans="1:8" ht="12.75">
      <c r="A741" s="36"/>
      <c r="B741" s="53"/>
      <c r="C741" s="54"/>
      <c r="D741" s="54"/>
      <c r="E741" s="55"/>
      <c r="F741" s="54"/>
      <c r="G741" s="38"/>
      <c r="H741" s="38"/>
    </row>
    <row r="742" spans="1:8" ht="12.75">
      <c r="A742" s="36"/>
      <c r="B742" s="53"/>
      <c r="C742" s="54"/>
      <c r="D742" s="54"/>
      <c r="E742" s="55"/>
      <c r="F742" s="54"/>
      <c r="G742" s="38"/>
      <c r="H742" s="38"/>
    </row>
    <row r="743" spans="1:8" ht="12.75">
      <c r="A743" s="36"/>
      <c r="B743" s="53"/>
      <c r="C743" s="54"/>
      <c r="D743" s="54"/>
      <c r="E743" s="55"/>
      <c r="F743" s="54"/>
      <c r="G743" s="38"/>
      <c r="H743" s="38"/>
    </row>
    <row r="744" spans="1:8" ht="12.75">
      <c r="A744" s="36"/>
      <c r="B744" s="53"/>
      <c r="C744" s="54"/>
      <c r="D744" s="54"/>
      <c r="E744" s="55"/>
      <c r="F744" s="54"/>
      <c r="G744" s="38"/>
      <c r="H744" s="38"/>
    </row>
    <row r="745" spans="1:8" ht="12.75">
      <c r="A745" s="36"/>
      <c r="B745" s="53"/>
      <c r="C745" s="54"/>
      <c r="D745" s="54"/>
      <c r="E745" s="55"/>
      <c r="F745" s="54"/>
      <c r="G745" s="38"/>
      <c r="H745" s="38"/>
    </row>
    <row r="746" spans="1:8" ht="12.75">
      <c r="A746" s="36"/>
      <c r="B746" s="53"/>
      <c r="C746" s="54"/>
      <c r="D746" s="54"/>
      <c r="E746" s="55"/>
      <c r="F746" s="54"/>
      <c r="G746" s="38"/>
      <c r="H746" s="38"/>
    </row>
    <row r="747" spans="1:8" ht="12.75">
      <c r="A747" s="36"/>
      <c r="B747" s="53"/>
      <c r="C747" s="54"/>
      <c r="D747" s="54"/>
      <c r="E747" s="55"/>
      <c r="F747" s="54"/>
      <c r="G747" s="38"/>
      <c r="H747" s="38"/>
    </row>
    <row r="748" spans="1:8" ht="12.75">
      <c r="A748" s="36"/>
      <c r="B748" s="53"/>
      <c r="C748" s="54"/>
      <c r="D748" s="54"/>
      <c r="E748" s="55"/>
      <c r="F748" s="54"/>
      <c r="G748" s="38"/>
      <c r="H748" s="38"/>
    </row>
    <row r="749" spans="1:8" ht="12.75">
      <c r="A749" s="36"/>
      <c r="B749" s="53"/>
      <c r="C749" s="54"/>
      <c r="D749" s="54"/>
      <c r="E749" s="55"/>
      <c r="F749" s="54"/>
      <c r="G749" s="38"/>
      <c r="H749" s="38"/>
    </row>
    <row r="750" spans="1:8" ht="12.75">
      <c r="A750" s="36"/>
      <c r="B750" s="53"/>
      <c r="C750" s="54"/>
      <c r="D750" s="54"/>
      <c r="E750" s="55"/>
      <c r="F750" s="54"/>
      <c r="G750" s="38"/>
      <c r="H750" s="38"/>
    </row>
    <row r="751" spans="1:8" ht="12.75">
      <c r="A751" s="36"/>
      <c r="B751" s="53"/>
      <c r="C751" s="54"/>
      <c r="D751" s="54"/>
      <c r="E751" s="55"/>
      <c r="F751" s="54"/>
      <c r="G751" s="38"/>
      <c r="H751" s="38"/>
    </row>
    <row r="752" spans="1:8" ht="12.75">
      <c r="A752" s="36"/>
      <c r="B752" s="53"/>
      <c r="C752" s="54"/>
      <c r="D752" s="54"/>
      <c r="E752" s="55"/>
      <c r="F752" s="54"/>
      <c r="G752" s="38"/>
      <c r="H752" s="38"/>
    </row>
    <row r="753" spans="1:8" ht="12.75">
      <c r="A753" s="36"/>
      <c r="B753" s="53"/>
      <c r="C753" s="54"/>
      <c r="D753" s="54"/>
      <c r="E753" s="55"/>
      <c r="F753" s="54"/>
      <c r="G753" s="38"/>
      <c r="H753" s="38"/>
    </row>
    <row r="754" spans="1:8" ht="12.75">
      <c r="A754" s="36"/>
      <c r="B754" s="53"/>
      <c r="C754" s="54"/>
      <c r="D754" s="54"/>
      <c r="E754" s="55"/>
      <c r="F754" s="54"/>
      <c r="G754" s="38"/>
      <c r="H754" s="38"/>
    </row>
    <row r="755" spans="1:8" ht="12.75">
      <c r="A755" s="36"/>
      <c r="B755" s="53"/>
      <c r="C755" s="54"/>
      <c r="D755" s="54"/>
      <c r="E755" s="55"/>
      <c r="F755" s="54"/>
      <c r="G755" s="38"/>
      <c r="H755" s="38"/>
    </row>
    <row r="756" spans="1:8" ht="12.75">
      <c r="A756" s="36"/>
      <c r="B756" s="53"/>
      <c r="C756" s="54"/>
      <c r="D756" s="54"/>
      <c r="E756" s="55"/>
      <c r="F756" s="54"/>
      <c r="G756" s="38"/>
      <c r="H756" s="38"/>
    </row>
    <row r="757" spans="1:8" ht="12.75">
      <c r="A757" s="36"/>
      <c r="B757" s="53"/>
      <c r="C757" s="54"/>
      <c r="D757" s="54"/>
      <c r="E757" s="55"/>
      <c r="F757" s="54"/>
      <c r="G757" s="38"/>
      <c r="H757" s="38"/>
    </row>
    <row r="758" spans="1:8" ht="12.75">
      <c r="A758" s="36"/>
      <c r="B758" s="53"/>
      <c r="C758" s="54"/>
      <c r="D758" s="54"/>
      <c r="E758" s="55"/>
      <c r="F758" s="54"/>
      <c r="G758" s="38"/>
      <c r="H758" s="38"/>
    </row>
    <row r="759" spans="1:8" ht="12.75">
      <c r="A759" s="36"/>
      <c r="B759" s="53"/>
      <c r="C759" s="54"/>
      <c r="D759" s="54"/>
      <c r="E759" s="55"/>
      <c r="F759" s="54"/>
      <c r="G759" s="38"/>
      <c r="H759" s="38"/>
    </row>
    <row r="760" spans="1:8" ht="12.75">
      <c r="A760" s="36"/>
      <c r="B760" s="53"/>
      <c r="C760" s="54"/>
      <c r="D760" s="54"/>
      <c r="E760" s="55"/>
      <c r="F760" s="54"/>
      <c r="G760" s="38"/>
      <c r="H760" s="38"/>
    </row>
    <row r="761" spans="1:8" ht="12.75">
      <c r="A761" s="36"/>
      <c r="B761" s="53"/>
      <c r="C761" s="54"/>
      <c r="D761" s="54"/>
      <c r="E761" s="55"/>
      <c r="F761" s="54"/>
      <c r="G761" s="38"/>
      <c r="H761" s="38"/>
    </row>
    <row r="762" spans="1:8" ht="12.75">
      <c r="A762" s="36"/>
      <c r="B762" s="53"/>
      <c r="C762" s="54"/>
      <c r="D762" s="54"/>
      <c r="E762" s="55"/>
      <c r="F762" s="54"/>
      <c r="G762" s="38"/>
      <c r="H762" s="38"/>
    </row>
    <row r="763" spans="1:8" ht="12.75">
      <c r="A763" s="36"/>
      <c r="B763" s="53"/>
      <c r="C763" s="54"/>
      <c r="D763" s="54"/>
      <c r="E763" s="55"/>
      <c r="F763" s="54"/>
      <c r="G763" s="38"/>
      <c r="H763" s="38"/>
    </row>
    <row r="764" spans="1:8" ht="12.75">
      <c r="A764" s="36"/>
      <c r="B764" s="53"/>
      <c r="C764" s="54"/>
      <c r="D764" s="54"/>
      <c r="E764" s="55"/>
      <c r="F764" s="54"/>
      <c r="G764" s="38"/>
      <c r="H764" s="38"/>
    </row>
    <row r="765" spans="1:8" ht="12.75">
      <c r="A765" s="36"/>
      <c r="B765" s="53"/>
      <c r="C765" s="54"/>
      <c r="D765" s="54"/>
      <c r="E765" s="55"/>
      <c r="F765" s="54"/>
      <c r="G765" s="38"/>
      <c r="H765" s="38"/>
    </row>
    <row r="766" spans="1:8" ht="12.75">
      <c r="A766" s="36"/>
      <c r="B766" s="53"/>
      <c r="C766" s="54"/>
      <c r="D766" s="54"/>
      <c r="E766" s="55"/>
      <c r="F766" s="54"/>
      <c r="G766" s="38"/>
      <c r="H766" s="38"/>
    </row>
    <row r="767" spans="1:8" ht="12.75">
      <c r="A767" s="36"/>
      <c r="B767" s="53"/>
      <c r="C767" s="54"/>
      <c r="D767" s="54"/>
      <c r="E767" s="55"/>
      <c r="F767" s="54"/>
      <c r="G767" s="38"/>
      <c r="H767" s="38"/>
    </row>
    <row r="768" spans="1:8" ht="12.75">
      <c r="A768" s="36"/>
      <c r="B768" s="53"/>
      <c r="C768" s="54"/>
      <c r="D768" s="54"/>
      <c r="E768" s="55"/>
      <c r="F768" s="54"/>
      <c r="G768" s="38"/>
      <c r="H768" s="38"/>
    </row>
    <row r="769" spans="1:8" ht="12.75">
      <c r="A769" s="36"/>
      <c r="B769" s="53"/>
      <c r="C769" s="54"/>
      <c r="D769" s="54"/>
      <c r="E769" s="55"/>
      <c r="F769" s="54"/>
      <c r="G769" s="38"/>
      <c r="H769" s="38"/>
    </row>
    <row r="770" spans="1:8" ht="12.75">
      <c r="A770" s="36"/>
      <c r="B770" s="53"/>
      <c r="C770" s="54"/>
      <c r="D770" s="54"/>
      <c r="E770" s="55"/>
      <c r="F770" s="54"/>
      <c r="G770" s="38"/>
      <c r="H770" s="38"/>
    </row>
    <row r="771" spans="1:8" ht="12.75">
      <c r="A771" s="36"/>
      <c r="B771" s="53"/>
      <c r="C771" s="54"/>
      <c r="D771" s="54"/>
      <c r="E771" s="55"/>
      <c r="F771" s="54"/>
      <c r="G771" s="38"/>
      <c r="H771" s="38"/>
    </row>
    <row r="772" spans="1:8" ht="12.75">
      <c r="A772" s="36"/>
      <c r="B772" s="53"/>
      <c r="C772" s="54"/>
      <c r="D772" s="54"/>
      <c r="E772" s="55"/>
      <c r="F772" s="54"/>
      <c r="G772" s="38"/>
      <c r="H772" s="38"/>
    </row>
    <row r="773" spans="1:8" ht="12.75">
      <c r="A773" s="36"/>
      <c r="B773" s="53"/>
      <c r="C773" s="54"/>
      <c r="D773" s="54"/>
      <c r="E773" s="55"/>
      <c r="F773" s="54"/>
      <c r="G773" s="38"/>
      <c r="H773" s="38"/>
    </row>
    <row r="774" spans="1:8" ht="12.75">
      <c r="A774" s="36"/>
      <c r="B774" s="53"/>
      <c r="C774" s="54"/>
      <c r="D774" s="54"/>
      <c r="E774" s="55"/>
      <c r="F774" s="54"/>
      <c r="G774" s="38"/>
      <c r="H774" s="38"/>
    </row>
    <row r="775" spans="1:8" ht="12.75">
      <c r="A775" s="36"/>
      <c r="B775" s="53"/>
      <c r="C775" s="54"/>
      <c r="D775" s="54"/>
      <c r="E775" s="55"/>
      <c r="F775" s="54"/>
      <c r="G775" s="38"/>
      <c r="H775" s="38"/>
    </row>
    <row r="776" spans="1:8" ht="12.75">
      <c r="A776" s="36"/>
      <c r="B776" s="53"/>
      <c r="C776" s="54"/>
      <c r="D776" s="54"/>
      <c r="E776" s="55"/>
      <c r="F776" s="54"/>
      <c r="G776" s="38"/>
      <c r="H776" s="38"/>
    </row>
    <row r="777" spans="1:8" ht="12.75">
      <c r="A777" s="36"/>
      <c r="B777" s="53"/>
      <c r="C777" s="54"/>
      <c r="D777" s="54"/>
      <c r="E777" s="55"/>
      <c r="F777" s="54"/>
      <c r="G777" s="38"/>
      <c r="H777" s="38"/>
    </row>
    <row r="778" spans="1:8" ht="12.75">
      <c r="A778" s="36"/>
      <c r="B778" s="53"/>
      <c r="C778" s="54"/>
      <c r="D778" s="54"/>
      <c r="E778" s="55"/>
      <c r="F778" s="54"/>
      <c r="G778" s="38"/>
      <c r="H778" s="38"/>
    </row>
    <row r="779" spans="1:8" ht="12.75">
      <c r="A779" s="36"/>
      <c r="B779" s="53"/>
      <c r="C779" s="54"/>
      <c r="D779" s="54"/>
      <c r="E779" s="55"/>
      <c r="F779" s="54"/>
      <c r="G779" s="38"/>
      <c r="H779" s="38"/>
    </row>
    <row r="780" spans="1:8" ht="12.75">
      <c r="A780" s="36"/>
      <c r="B780" s="53"/>
      <c r="C780" s="54"/>
      <c r="D780" s="54"/>
      <c r="E780" s="55"/>
      <c r="F780" s="54"/>
      <c r="G780" s="38"/>
      <c r="H780" s="38"/>
    </row>
    <row r="781" spans="1:8" ht="12.75">
      <c r="A781" s="36"/>
      <c r="B781" s="53"/>
      <c r="C781" s="54"/>
      <c r="D781" s="54"/>
      <c r="E781" s="55"/>
      <c r="F781" s="54"/>
      <c r="G781" s="38"/>
      <c r="H781" s="38"/>
    </row>
    <row r="782" spans="1:8" ht="12.75">
      <c r="A782" s="36"/>
      <c r="B782" s="53"/>
      <c r="C782" s="54"/>
      <c r="D782" s="54"/>
      <c r="E782" s="55"/>
      <c r="F782" s="54"/>
      <c r="G782" s="38"/>
      <c r="H782" s="38"/>
    </row>
    <row r="783" spans="1:8" ht="12.75">
      <c r="A783" s="36"/>
      <c r="B783" s="53"/>
      <c r="C783" s="54"/>
      <c r="D783" s="54"/>
      <c r="E783" s="55"/>
      <c r="F783" s="54"/>
      <c r="G783" s="38"/>
      <c r="H783" s="38"/>
    </row>
    <row r="784" spans="1:8" ht="12.75">
      <c r="A784" s="36"/>
      <c r="B784" s="53"/>
      <c r="C784" s="54"/>
      <c r="D784" s="54"/>
      <c r="E784" s="55"/>
      <c r="F784" s="54"/>
      <c r="G784" s="38"/>
      <c r="H784" s="38"/>
    </row>
    <row r="785" spans="1:8" ht="12.75">
      <c r="A785" s="36"/>
      <c r="B785" s="53"/>
      <c r="C785" s="54"/>
      <c r="D785" s="54"/>
      <c r="E785" s="55"/>
      <c r="F785" s="54"/>
      <c r="G785" s="38"/>
      <c r="H785" s="38"/>
    </row>
    <row r="786" spans="1:8" ht="12.75">
      <c r="A786" s="36"/>
      <c r="B786" s="53"/>
      <c r="C786" s="54"/>
      <c r="D786" s="54"/>
      <c r="E786" s="55"/>
      <c r="F786" s="54"/>
      <c r="G786" s="38"/>
      <c r="H786" s="38"/>
    </row>
    <row r="787" spans="1:8" ht="12.75">
      <c r="A787" s="36"/>
      <c r="B787" s="53"/>
      <c r="C787" s="54"/>
      <c r="D787" s="54"/>
      <c r="E787" s="55"/>
      <c r="F787" s="54"/>
      <c r="G787" s="38"/>
      <c r="H787" s="38"/>
    </row>
    <row r="788" spans="1:8" ht="12.75">
      <c r="A788" s="36"/>
      <c r="B788" s="53"/>
      <c r="C788" s="54"/>
      <c r="D788" s="54"/>
      <c r="E788" s="55"/>
      <c r="F788" s="54"/>
      <c r="G788" s="38"/>
      <c r="H788" s="38"/>
    </row>
    <row r="789" spans="1:8" ht="12.75">
      <c r="A789" s="36"/>
      <c r="B789" s="53"/>
      <c r="C789" s="54"/>
      <c r="D789" s="54"/>
      <c r="E789" s="55"/>
      <c r="F789" s="54"/>
      <c r="G789" s="38"/>
      <c r="H789" s="38"/>
    </row>
    <row r="790" spans="1:8" ht="12.75">
      <c r="A790" s="36"/>
      <c r="B790" s="53"/>
      <c r="C790" s="54"/>
      <c r="D790" s="54"/>
      <c r="E790" s="55"/>
      <c r="F790" s="54"/>
      <c r="G790" s="38"/>
      <c r="H790" s="38"/>
    </row>
    <row r="791" spans="1:8" ht="12.75">
      <c r="A791" s="36"/>
      <c r="B791" s="53"/>
      <c r="C791" s="54"/>
      <c r="D791" s="54"/>
      <c r="E791" s="55"/>
      <c r="F791" s="54"/>
      <c r="G791" s="38"/>
      <c r="H791" s="38"/>
    </row>
    <row r="792" spans="1:8" ht="12.75">
      <c r="A792" s="36"/>
      <c r="B792" s="53"/>
      <c r="C792" s="54"/>
      <c r="D792" s="54"/>
      <c r="E792" s="55"/>
      <c r="F792" s="54"/>
      <c r="G792" s="38"/>
      <c r="H792" s="38"/>
    </row>
    <row r="793" spans="1:8" ht="12.75">
      <c r="A793" s="36"/>
      <c r="B793" s="53"/>
      <c r="C793" s="54"/>
      <c r="D793" s="54"/>
      <c r="E793" s="55"/>
      <c r="F793" s="54"/>
      <c r="G793" s="38"/>
      <c r="H793" s="38"/>
    </row>
    <row r="794" spans="1:8" ht="12.75">
      <c r="A794" s="36"/>
      <c r="B794" s="53"/>
      <c r="C794" s="54"/>
      <c r="D794" s="54"/>
      <c r="E794" s="55"/>
      <c r="F794" s="54"/>
      <c r="G794" s="38"/>
      <c r="H794" s="38"/>
    </row>
    <row r="795" spans="1:8" ht="12.75">
      <c r="A795" s="36"/>
      <c r="B795" s="53"/>
      <c r="C795" s="54"/>
      <c r="D795" s="54"/>
      <c r="E795" s="55"/>
      <c r="F795" s="54"/>
      <c r="G795" s="38"/>
      <c r="H795" s="38"/>
    </row>
    <row r="796" spans="1:8" ht="12.75">
      <c r="A796" s="36"/>
      <c r="B796" s="53"/>
      <c r="C796" s="54"/>
      <c r="D796" s="54"/>
      <c r="E796" s="55"/>
      <c r="F796" s="54"/>
      <c r="G796" s="38"/>
      <c r="H796" s="38"/>
    </row>
    <row r="797" spans="1:8" ht="12.75">
      <c r="A797" s="36"/>
      <c r="B797" s="53"/>
      <c r="C797" s="54"/>
      <c r="D797" s="54"/>
      <c r="E797" s="55"/>
      <c r="F797" s="54"/>
      <c r="G797" s="38"/>
      <c r="H797" s="38"/>
    </row>
    <row r="798" spans="1:8" ht="12.75">
      <c r="A798" s="36"/>
      <c r="B798" s="53"/>
      <c r="C798" s="54"/>
      <c r="D798" s="54"/>
      <c r="E798" s="55"/>
      <c r="F798" s="54"/>
      <c r="G798" s="38"/>
      <c r="H798" s="38"/>
    </row>
    <row r="799" spans="1:8" ht="12.75">
      <c r="A799" s="36"/>
      <c r="B799" s="53"/>
      <c r="C799" s="54"/>
      <c r="D799" s="54"/>
      <c r="E799" s="55"/>
      <c r="F799" s="54"/>
      <c r="G799" s="38"/>
      <c r="H799" s="38"/>
    </row>
    <row r="800" spans="1:8" ht="12.75">
      <c r="A800" s="36"/>
      <c r="B800" s="53"/>
      <c r="C800" s="54"/>
      <c r="D800" s="54"/>
      <c r="E800" s="55"/>
      <c r="F800" s="54"/>
      <c r="G800" s="38"/>
      <c r="H800" s="38"/>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H22"/>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5.28515625" customWidth="1"/>
    <col min="2" max="2" width="12" customWidth="1"/>
    <col min="3" max="3" width="16.7109375" customWidth="1"/>
    <col min="4" max="4" width="13" customWidth="1"/>
    <col min="5" max="5" width="8" hidden="1" customWidth="1"/>
    <col min="6" max="6" width="32.42578125" customWidth="1"/>
    <col min="7" max="7" width="7.42578125" customWidth="1"/>
    <col min="8" max="8" width="23.42578125" customWidth="1"/>
  </cols>
  <sheetData>
    <row r="1" spans="1:8" ht="12" customHeight="1">
      <c r="A1" s="34"/>
      <c r="B1" s="34"/>
      <c r="C1" s="34"/>
      <c r="D1" s="34"/>
      <c r="E1" s="56"/>
      <c r="F1" s="126" t="s">
        <v>10</v>
      </c>
      <c r="G1" s="110"/>
      <c r="H1" s="110"/>
    </row>
    <row r="2" spans="1:8" ht="12" customHeight="1">
      <c r="A2" s="34"/>
      <c r="B2" s="34"/>
      <c r="C2" s="34"/>
      <c r="D2" s="34"/>
      <c r="E2" s="56"/>
      <c r="F2" s="114"/>
      <c r="G2" s="114"/>
      <c r="H2" s="114"/>
    </row>
    <row r="3" spans="1:8" ht="12" customHeight="1">
      <c r="A3" s="34"/>
      <c r="B3" s="34"/>
      <c r="C3" s="34"/>
      <c r="D3" s="34"/>
      <c r="E3" s="56"/>
      <c r="F3" s="127" t="s">
        <v>11</v>
      </c>
      <c r="G3" s="110"/>
      <c r="H3" s="110"/>
    </row>
    <row r="4" spans="1:8" ht="12" customHeight="1">
      <c r="A4" s="34"/>
      <c r="B4" s="34"/>
      <c r="C4" s="34"/>
      <c r="D4" s="34"/>
      <c r="E4" s="56"/>
      <c r="F4" s="110"/>
      <c r="G4" s="110"/>
      <c r="H4" s="110"/>
    </row>
    <row r="5" spans="1:8" ht="23.25">
      <c r="A5" s="34"/>
      <c r="B5" s="34"/>
      <c r="C5" s="34"/>
      <c r="D5" s="34"/>
      <c r="E5" s="56"/>
      <c r="F5" s="34"/>
      <c r="G5" s="34"/>
      <c r="H5" s="34"/>
    </row>
    <row r="6" spans="1:8" ht="23.25">
      <c r="A6" s="128" t="s">
        <v>88</v>
      </c>
      <c r="B6" s="110"/>
      <c r="C6" s="110"/>
      <c r="D6" s="110"/>
      <c r="E6" s="110"/>
      <c r="F6" s="110"/>
      <c r="G6" s="110"/>
      <c r="H6" s="110"/>
    </row>
    <row r="7" spans="1:8" ht="12.75">
      <c r="A7" s="36"/>
      <c r="B7" s="38"/>
      <c r="E7" s="57"/>
      <c r="G7" s="38"/>
    </row>
    <row r="8" spans="1:8" ht="33" customHeight="1">
      <c r="A8" s="129" t="s">
        <v>89</v>
      </c>
      <c r="B8" s="122"/>
      <c r="C8" s="122"/>
      <c r="D8" s="122"/>
      <c r="E8" s="122"/>
      <c r="F8" s="122"/>
      <c r="G8" s="122"/>
      <c r="H8" s="118"/>
    </row>
    <row r="9" spans="1:8" ht="12.75">
      <c r="A9" s="36"/>
      <c r="B9" s="38"/>
      <c r="E9" s="57"/>
      <c r="G9" s="38"/>
    </row>
    <row r="10" spans="1:8" ht="12.75">
      <c r="A10" s="39">
        <f ca="1">IFERROR(__xludf.DUMMYFUNCTION("IMPORTRANGE(""1qeeFCJCFKucGS14M4JpkDHd4OgBncP16-nnB1TgVYa4"",""ART!A10"")"),5)</f>
        <v>5</v>
      </c>
      <c r="B10" s="40" t="s">
        <v>90</v>
      </c>
      <c r="E10" s="57"/>
      <c r="F10" s="41"/>
      <c r="G10" s="42"/>
      <c r="H10" s="41" t="s">
        <v>79</v>
      </c>
    </row>
    <row r="11" spans="1:8" ht="12.75">
      <c r="A11" s="58" t="str">
        <f ca="1">IFERROR(__xludf.DUMMYFUNCTION("IMPORTRANGE(""1qeeFCJCFKucGS14M4JpkDHd4OgBncP16-nnB1TgVYa4"",""AR!A11"")"),"La liste des cadres est remise à jour courant octobre en fonction de la participation aux colloques")</f>
        <v>La liste des cadres est remise à jour courant octobre en fonction de la participation aux colloques</v>
      </c>
      <c r="B11" s="59"/>
      <c r="C11" s="60"/>
      <c r="D11" s="60"/>
      <c r="E11" s="61"/>
      <c r="F11" s="62"/>
      <c r="G11" s="63"/>
      <c r="H11" s="63"/>
    </row>
    <row r="12" spans="1:8">
      <c r="A12" s="44" t="s">
        <v>80</v>
      </c>
      <c r="B12" s="45" t="s">
        <v>81</v>
      </c>
      <c r="C12" s="44" t="s">
        <v>82</v>
      </c>
      <c r="D12" s="44" t="s">
        <v>83</v>
      </c>
      <c r="E12" s="64" t="s">
        <v>84</v>
      </c>
      <c r="F12" s="44" t="s">
        <v>85</v>
      </c>
      <c r="G12" s="44" t="s">
        <v>86</v>
      </c>
      <c r="H12" s="44" t="s">
        <v>87</v>
      </c>
    </row>
    <row r="13" spans="1:8" ht="12.75">
      <c r="A13" s="46">
        <f ca="1">IFERROR(__xludf.DUMMYFUNCTION("IMPORTRANGE(""1qeeFCJCFKucGS14M4JpkDHd4OgBncP16-nnB1TgVYa4"",""ART!A13:G1500"")"),1)</f>
        <v>1</v>
      </c>
      <c r="B13" s="65" t="str">
        <f ca="1">IFERROR(__xludf.DUMMYFUNCTION("""COMPUTED_VALUE"""),"549636")</f>
        <v>549636</v>
      </c>
      <c r="C13" s="48" t="str">
        <f ca="1">IFERROR(__xludf.DUMMYFUNCTION("""COMPUTED_VALUE"""),"BOULALA")</f>
        <v>BOULALA</v>
      </c>
      <c r="D13" s="48" t="str">
        <f ca="1">IFERROR(__xludf.DUMMYFUNCTION("""COMPUTED_VALUE"""),"Florian")</f>
        <v>Florian</v>
      </c>
      <c r="E13" s="49" t="str">
        <f ca="1">IFERROR(__xludf.DUMMYFUNCTION("""COMPUTED_VALUE"""),"06540001")</f>
        <v>06540001</v>
      </c>
      <c r="F13" s="48" t="str">
        <f ca="1">IFERROR(__xludf.DUMMYFUNCTION("""COMPUTED_VALUE"""),"BLAINVILLE DAMELEVIERES AC")</f>
        <v>BLAINVILLE DAMELEVIERES AC</v>
      </c>
      <c r="G13" s="50" t="str">
        <f ca="1">IFERROR(__xludf.DUMMYFUNCTION("""COMPUTED_VALUE"""),"CD54")</f>
        <v>CD54</v>
      </c>
      <c r="H13" s="50" t="str">
        <f ca="1">IFERROR(__xludf.DUMMYFUNCTION("IMPORTRANGE(""1qeeFCJCFKucGS14M4JpkDHd4OgBncP16-nnB1TgVYa4"",""ART!I13:I1500"")"),"actif")</f>
        <v>actif</v>
      </c>
    </row>
    <row r="14" spans="1:8" ht="12.75">
      <c r="A14" s="46">
        <f ca="1">IFERROR(__xludf.DUMMYFUNCTION("""COMPUTED_VALUE"""),2)</f>
        <v>2</v>
      </c>
      <c r="B14" s="65" t="str">
        <f ca="1">IFERROR(__xludf.DUMMYFUNCTION("""COMPUTED_VALUE"""),"822108")</f>
        <v>822108</v>
      </c>
      <c r="C14" s="48" t="str">
        <f ca="1">IFERROR(__xludf.DUMMYFUNCTION("""COMPUTED_VALUE"""),"JULE")</f>
        <v>JULE</v>
      </c>
      <c r="D14" s="48" t="str">
        <f ca="1">IFERROR(__xludf.DUMMYFUNCTION("""COMPUTED_VALUE"""),"Gaetan")</f>
        <v>Gaetan</v>
      </c>
      <c r="E14" s="49" t="str">
        <f ca="1">IFERROR(__xludf.DUMMYFUNCTION("""COMPUTED_VALUE"""),"06670261")</f>
        <v>06670261</v>
      </c>
      <c r="F14" s="48" t="str">
        <f ca="1">IFERROR(__xludf.DUMMYFUNCTION("""COMPUTED_VALUE"""),"Avenir KOCHERSBERG TT")</f>
        <v>Avenir KOCHERSBERG TT</v>
      </c>
      <c r="G14" s="50" t="str">
        <f ca="1">IFERROR(__xludf.DUMMYFUNCTION("""COMPUTED_VALUE"""),"CD67")</f>
        <v>CD67</v>
      </c>
      <c r="H14" s="50" t="str">
        <f ca="1">IFERROR(__xludf.DUMMYFUNCTION("""COMPUTED_VALUE"""),"actif")</f>
        <v>actif</v>
      </c>
    </row>
    <row r="15" spans="1:8" ht="12.75">
      <c r="A15" s="46">
        <f ca="1">IFERROR(__xludf.DUMMYFUNCTION("""COMPUTED_VALUE"""),3)</f>
        <v>3</v>
      </c>
      <c r="B15" s="65" t="str">
        <f ca="1">IFERROR(__xludf.DUMMYFUNCTION("""COMPUTED_VALUE"""),"3342752")</f>
        <v>3342752</v>
      </c>
      <c r="C15" s="48" t="str">
        <f ca="1">IFERROR(__xludf.DUMMYFUNCTION("""COMPUTED_VALUE"""),"LAFFITTE")</f>
        <v>LAFFITTE</v>
      </c>
      <c r="D15" s="48" t="str">
        <f ca="1">IFERROR(__xludf.DUMMYFUNCTION("""COMPUTED_VALUE"""),"Damien")</f>
        <v>Damien</v>
      </c>
      <c r="E15" s="49" t="str">
        <f ca="1">IFERROR(__xludf.DUMMYFUNCTION("""COMPUTED_VALUE"""),"06540034")</f>
        <v>06540034</v>
      </c>
      <c r="F15" s="48" t="str">
        <f ca="1">IFERROR(__xludf.DUMMYFUNCTION("""COMPUTED_VALUE"""),"SAINT MAX T.T.H.R.")</f>
        <v>SAINT MAX T.T.H.R.</v>
      </c>
      <c r="G15" s="50" t="str">
        <f ca="1">IFERROR(__xludf.DUMMYFUNCTION("""COMPUTED_VALUE"""),"CD54")</f>
        <v>CD54</v>
      </c>
      <c r="H15" s="50" t="str">
        <f ca="1">IFERROR(__xludf.DUMMYFUNCTION("""COMPUTED_VALUE"""),"actif")</f>
        <v>actif</v>
      </c>
    </row>
    <row r="16" spans="1:8" ht="12.75">
      <c r="A16" s="46">
        <f ca="1">IFERROR(__xludf.DUMMYFUNCTION("""COMPUTED_VALUE"""),4)</f>
        <v>4</v>
      </c>
      <c r="B16" s="65" t="str">
        <f ca="1">IFERROR(__xludf.DUMMYFUNCTION("""COMPUTED_VALUE"""),"0619141")</f>
        <v>0619141</v>
      </c>
      <c r="C16" s="48" t="str">
        <f ca="1">IFERROR(__xludf.DUMMYFUNCTION("""COMPUTED_VALUE"""),"ROVILLO")</f>
        <v>ROVILLO</v>
      </c>
      <c r="D16" s="48" t="str">
        <f ca="1">IFERROR(__xludf.DUMMYFUNCTION("""COMPUTED_VALUE"""),"Theo")</f>
        <v>Theo</v>
      </c>
      <c r="E16" s="49" t="str">
        <f ca="1">IFERROR(__xludf.DUMMYFUNCTION("""COMPUTED_VALUE"""),"06540043")</f>
        <v>06540043</v>
      </c>
      <c r="F16" s="48" t="str">
        <f ca="1">IFERROR(__xludf.DUMMYFUNCTION("""COMPUTED_VALUE"""),"NANCY S.L.U.C.")</f>
        <v>NANCY S.L.U.C.</v>
      </c>
      <c r="G16" s="50" t="str">
        <f ca="1">IFERROR(__xludf.DUMMYFUNCTION("""COMPUTED_VALUE"""),"CD54")</f>
        <v>CD54</v>
      </c>
      <c r="H16" s="50" t="str">
        <f ca="1">IFERROR(__xludf.DUMMYFUNCTION("""COMPUTED_VALUE"""),"actif")</f>
        <v>actif</v>
      </c>
    </row>
    <row r="17" spans="1:8" ht="12.75">
      <c r="A17" s="46">
        <f ca="1">IFERROR(__xludf.DUMMYFUNCTION("""COMPUTED_VALUE"""),5)</f>
        <v>5</v>
      </c>
      <c r="B17" s="65" t="str">
        <f ca="1">IFERROR(__xludf.DUMMYFUNCTION("""COMPUTED_VALUE"""),"5717559")</f>
        <v>5717559</v>
      </c>
      <c r="C17" s="48" t="str">
        <f ca="1">IFERROR(__xludf.DUMMYFUNCTION("""COMPUTED_VALUE"""),"WAGNER")</f>
        <v>WAGNER</v>
      </c>
      <c r="D17" s="48" t="str">
        <f ca="1">IFERROR(__xludf.DUMMYFUNCTION("""COMPUTED_VALUE"""),"Julien")</f>
        <v>Julien</v>
      </c>
      <c r="E17" s="49" t="str">
        <f ca="1">IFERROR(__xludf.DUMMYFUNCTION("""COMPUTED_VALUE"""),"06570180")</f>
        <v>06570180</v>
      </c>
      <c r="F17" s="48" t="str">
        <f ca="1">IFERROR(__xludf.DUMMYFUNCTION("""COMPUTED_VALUE"""),"BEHREN LES FORBACH TT")</f>
        <v>BEHREN LES FORBACH TT</v>
      </c>
      <c r="G17" s="50" t="str">
        <f ca="1">IFERROR(__xludf.DUMMYFUNCTION("""COMPUTED_VALUE"""),"CD57")</f>
        <v>CD57</v>
      </c>
      <c r="H17" s="50" t="str">
        <f ca="1">IFERROR(__xludf.DUMMYFUNCTION("""COMPUTED_VALUE"""),"actif")</f>
        <v>actif</v>
      </c>
    </row>
    <row r="18" spans="1:8" ht="12.75">
      <c r="A18" s="46" t="str">
        <f ca="1">IFERROR(__xludf.DUMMYFUNCTION("""COMPUTED_VALUE"""),"")</f>
        <v/>
      </c>
      <c r="B18" s="50"/>
      <c r="C18" s="48"/>
      <c r="D18" s="48"/>
      <c r="E18" s="49"/>
      <c r="F18" s="48"/>
      <c r="G18" s="50"/>
      <c r="H18" s="50"/>
    </row>
    <row r="19" spans="1:8" ht="12.75">
      <c r="A19" s="46" t="str">
        <f ca="1">IFERROR(__xludf.DUMMYFUNCTION("""COMPUTED_VALUE"""),"")</f>
        <v/>
      </c>
      <c r="B19" s="50"/>
      <c r="C19" s="48"/>
      <c r="D19" s="48"/>
      <c r="E19" s="49"/>
      <c r="F19" s="48"/>
      <c r="G19" s="50"/>
      <c r="H19" s="50"/>
    </row>
    <row r="20" spans="1:8" ht="12.75">
      <c r="A20" s="46" t="str">
        <f ca="1">IFERROR(__xludf.DUMMYFUNCTION("""COMPUTED_VALUE"""),"")</f>
        <v/>
      </c>
      <c r="B20" s="50"/>
      <c r="C20" s="48"/>
      <c r="D20" s="48"/>
      <c r="E20" s="49"/>
      <c r="F20" s="48"/>
      <c r="G20" s="50"/>
      <c r="H20" s="50"/>
    </row>
    <row r="21" spans="1:8" ht="12.75">
      <c r="A21" s="46"/>
      <c r="B21" s="50"/>
      <c r="C21" s="48"/>
      <c r="D21" s="48"/>
      <c r="E21" s="49"/>
      <c r="F21" s="48"/>
      <c r="G21" s="50"/>
      <c r="H21" s="50"/>
    </row>
    <row r="22" spans="1:8" ht="12.75">
      <c r="A22" s="46"/>
      <c r="B22" s="50"/>
      <c r="C22" s="48"/>
      <c r="D22" s="48"/>
      <c r="E22" s="49"/>
      <c r="F22" s="48"/>
      <c r="G22" s="50"/>
      <c r="H22" s="50"/>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H1499"/>
  <sheetViews>
    <sheetView showGridLines="0" workbookViewId="0">
      <pane ySplit="12" topLeftCell="A481" activePane="bottomLeft" state="frozen"/>
      <selection pane="bottomLeft" activeCell="A494" sqref="A494:H494"/>
    </sheetView>
  </sheetViews>
  <sheetFormatPr baseColWidth="10" defaultColWidth="12.5703125" defaultRowHeight="15.75" customHeight="1"/>
  <cols>
    <col min="1" max="1" width="5.28515625" customWidth="1"/>
    <col min="2" max="2" width="12" customWidth="1"/>
    <col min="3" max="3" width="16.7109375" customWidth="1"/>
    <col min="4" max="4" width="13" customWidth="1"/>
    <col min="5" max="5" width="8" hidden="1" customWidth="1"/>
    <col min="6" max="6" width="32.42578125" customWidth="1"/>
    <col min="7" max="7" width="7.42578125" customWidth="1"/>
    <col min="8" max="8" width="23.42578125" customWidth="1"/>
  </cols>
  <sheetData>
    <row r="1" spans="1:8" ht="12" customHeight="1">
      <c r="A1" s="34"/>
      <c r="B1" s="34"/>
      <c r="C1" s="34"/>
      <c r="D1" s="34"/>
      <c r="E1" s="56"/>
      <c r="F1" s="126" t="s">
        <v>10</v>
      </c>
      <c r="G1" s="110"/>
      <c r="H1" s="110"/>
    </row>
    <row r="2" spans="1:8" ht="12" customHeight="1">
      <c r="A2" s="34"/>
      <c r="B2" s="34"/>
      <c r="C2" s="34"/>
      <c r="D2" s="34"/>
      <c r="E2" s="56"/>
      <c r="F2" s="114"/>
      <c r="G2" s="114"/>
      <c r="H2" s="114"/>
    </row>
    <row r="3" spans="1:8" ht="12" customHeight="1">
      <c r="A3" s="34"/>
      <c r="B3" s="34"/>
      <c r="C3" s="34"/>
      <c r="D3" s="34"/>
      <c r="E3" s="56"/>
      <c r="F3" s="127" t="s">
        <v>11</v>
      </c>
      <c r="G3" s="110"/>
      <c r="H3" s="110"/>
    </row>
    <row r="4" spans="1:8" ht="12" customHeight="1">
      <c r="A4" s="34"/>
      <c r="B4" s="34"/>
      <c r="C4" s="34"/>
      <c r="D4" s="34"/>
      <c r="E4" s="56"/>
      <c r="F4" s="110"/>
      <c r="G4" s="110"/>
      <c r="H4" s="110"/>
    </row>
    <row r="5" spans="1:8" ht="23.25">
      <c r="A5" s="34"/>
      <c r="B5" s="34"/>
      <c r="C5" s="34"/>
      <c r="D5" s="34"/>
      <c r="E5" s="56"/>
      <c r="F5" s="34"/>
      <c r="G5" s="34"/>
      <c r="H5" s="34"/>
    </row>
    <row r="6" spans="1:8" ht="23.25">
      <c r="A6" s="128" t="s">
        <v>91</v>
      </c>
      <c r="B6" s="110"/>
      <c r="C6" s="110"/>
      <c r="D6" s="110"/>
      <c r="E6" s="110"/>
      <c r="F6" s="110"/>
      <c r="G6" s="110"/>
      <c r="H6" s="110"/>
    </row>
    <row r="7" spans="1:8" ht="12.75">
      <c r="A7" s="36"/>
      <c r="B7" s="38"/>
      <c r="E7" s="57"/>
      <c r="G7" s="38"/>
    </row>
    <row r="8" spans="1:8" ht="33" customHeight="1">
      <c r="A8" s="129" t="s">
        <v>92</v>
      </c>
      <c r="B8" s="122"/>
      <c r="C8" s="122"/>
      <c r="D8" s="122"/>
      <c r="E8" s="122"/>
      <c r="F8" s="122"/>
      <c r="G8" s="122"/>
      <c r="H8" s="118"/>
    </row>
    <row r="9" spans="1:8" ht="12.75">
      <c r="A9" s="36"/>
      <c r="B9" s="38"/>
      <c r="E9" s="57"/>
      <c r="G9" s="38"/>
    </row>
    <row r="10" spans="1:8" ht="12.75">
      <c r="A10" s="39">
        <f ca="1">IFERROR(__xludf.DUMMYFUNCTION("IMPORTRANGE(""1qeeFCJCFKucGS14M4JpkDHd4OgBncP16-nnB1TgVYa4"",""AR!A10"")"),634)</f>
        <v>634</v>
      </c>
      <c r="B10" s="40" t="s">
        <v>93</v>
      </c>
      <c r="E10" s="57"/>
      <c r="F10" s="41"/>
      <c r="G10" s="42"/>
      <c r="H10" s="41" t="s">
        <v>79</v>
      </c>
    </row>
    <row r="11" spans="1:8" ht="12.75">
      <c r="A11" s="58" t="str">
        <f ca="1">IFERROR(__xludf.DUMMYFUNCTION("IMPORTRANGE(""1qeeFCJCFKucGS14M4JpkDHd4OgBncP16-nnB1TgVYa4"",""AR!A11"")"),"La liste des cadres est remise à jour courant octobre en fonction de la participation aux colloques")</f>
        <v>La liste des cadres est remise à jour courant octobre en fonction de la participation aux colloques</v>
      </c>
      <c r="B11" s="59"/>
      <c r="C11" s="60"/>
      <c r="D11" s="60"/>
      <c r="E11" s="61"/>
      <c r="F11" s="62"/>
      <c r="G11" s="63"/>
      <c r="H11" s="63"/>
    </row>
    <row r="12" spans="1:8">
      <c r="A12" s="44" t="s">
        <v>80</v>
      </c>
      <c r="B12" s="45" t="s">
        <v>81</v>
      </c>
      <c r="C12" s="44" t="s">
        <v>82</v>
      </c>
      <c r="D12" s="44" t="s">
        <v>83</v>
      </c>
      <c r="E12" s="64" t="s">
        <v>84</v>
      </c>
      <c r="F12" s="44" t="s">
        <v>85</v>
      </c>
      <c r="G12" s="44" t="s">
        <v>86</v>
      </c>
      <c r="H12" s="44" t="s">
        <v>87</v>
      </c>
    </row>
    <row r="13" spans="1:8" ht="12.75">
      <c r="A13" s="46">
        <f ca="1">IFERROR(__xludf.DUMMYFUNCTION("IMPORTRANGE(""1qeeFCJCFKucGS14M4JpkDHd4OgBncP16-nnB1TgVYa4"",""AR!A13:G1500"")"),1)</f>
        <v>1</v>
      </c>
      <c r="B13" s="65" t="str">
        <f ca="1">IFERROR(__xludf.DUMMYFUNCTION("""COMPUTED_VALUE"""),"084314")</f>
        <v>084314</v>
      </c>
      <c r="C13" s="48" t="str">
        <f ca="1">IFERROR(__xludf.DUMMYFUNCTION("""COMPUTED_VALUE"""),"ADAM")</f>
        <v>ADAM</v>
      </c>
      <c r="D13" s="48" t="str">
        <f ca="1">IFERROR(__xludf.DUMMYFUNCTION("""COMPUTED_VALUE"""),"Rémi")</f>
        <v>Rémi</v>
      </c>
      <c r="E13" s="49" t="str">
        <f ca="1">IFERROR(__xludf.DUMMYFUNCTION("""COMPUTED_VALUE"""),"06080006")</f>
        <v>06080006</v>
      </c>
      <c r="F13" s="48" t="str">
        <f ca="1">IFERROR(__xludf.DUMMYFUNCTION("""COMPUTED_VALUE"""),"BAZEILLES PPC")</f>
        <v>BAZEILLES PPC</v>
      </c>
      <c r="G13" s="50" t="str">
        <f ca="1">IFERROR(__xludf.DUMMYFUNCTION("""COMPUTED_VALUE"""),"CD08")</f>
        <v>CD08</v>
      </c>
      <c r="H13" s="50" t="str">
        <f ca="1">IFERROR(__xludf.DUMMYFUNCTION("IMPORTRANGE(""1qeeFCJCFKucGS14M4JpkDHd4OgBncP16-nnB1TgVYa4"",""AR!I13:I1500"")"),"actif")</f>
        <v>actif</v>
      </c>
    </row>
    <row r="14" spans="1:8" ht="12.75">
      <c r="A14" s="46">
        <f ca="1">IFERROR(__xludf.DUMMYFUNCTION("""COMPUTED_VALUE"""),2)</f>
        <v>2</v>
      </c>
      <c r="B14" s="65" t="str">
        <f ca="1">IFERROR(__xludf.DUMMYFUNCTION("""COMPUTED_VALUE"""),"5410039")</f>
        <v>5410039</v>
      </c>
      <c r="C14" s="48" t="str">
        <f ca="1">IFERROR(__xludf.DUMMYFUNCTION("""COMPUTED_VALUE"""),"ALMERAS")</f>
        <v>ALMERAS</v>
      </c>
      <c r="D14" s="48" t="str">
        <f ca="1">IFERROR(__xludf.DUMMYFUNCTION("""COMPUTED_VALUE"""),"Nicolas")</f>
        <v>Nicolas</v>
      </c>
      <c r="E14" s="49" t="str">
        <f ca="1">IFERROR(__xludf.DUMMYFUNCTION("""COMPUTED_VALUE"""),"06540157")</f>
        <v>06540157</v>
      </c>
      <c r="F14" s="48" t="str">
        <f ca="1">IFERROR(__xludf.DUMMYFUNCTION("""COMPUTED_VALUE"""),"ST NICOLAS DE PORT PPCP")</f>
        <v>ST NICOLAS DE PORT PPCP</v>
      </c>
      <c r="G14" s="50" t="str">
        <f ca="1">IFERROR(__xludf.DUMMYFUNCTION("""COMPUTED_VALUE"""),"CD54")</f>
        <v>CD54</v>
      </c>
      <c r="H14" s="50" t="str">
        <f ca="1">IFERROR(__xludf.DUMMYFUNCTION("""COMPUTED_VALUE"""),"inactivité 3ème année")</f>
        <v>inactivité 3ème année</v>
      </c>
    </row>
    <row r="15" spans="1:8" ht="12.75">
      <c r="A15" s="140">
        <f ca="1">IFERROR(__xludf.DUMMYFUNCTION("""COMPUTED_VALUE"""),3)</f>
        <v>3</v>
      </c>
      <c r="B15" s="136" t="str">
        <f ca="1">IFERROR(__xludf.DUMMYFUNCTION("""COMPUTED_VALUE"""),"673235")</f>
        <v>673235</v>
      </c>
      <c r="C15" s="137" t="str">
        <f ca="1">IFERROR(__xludf.DUMMYFUNCTION("""COMPUTED_VALUE"""),"ALVAREZ")</f>
        <v>ALVAREZ</v>
      </c>
      <c r="D15" s="137" t="str">
        <f ca="1">IFERROR(__xludf.DUMMYFUNCTION("""COMPUTED_VALUE"""),"Jose")</f>
        <v>Jose</v>
      </c>
      <c r="E15" s="138" t="str">
        <f ca="1">IFERROR(__xludf.DUMMYFUNCTION("""COMPUTED_VALUE"""),"06670058")</f>
        <v>06670058</v>
      </c>
      <c r="F15" s="137" t="str">
        <f ca="1">IFERROR(__xludf.DUMMYFUNCTION("""COMPUTED_VALUE"""),"BENFELD LAURENTIA S.S.C.")</f>
        <v>BENFELD LAURENTIA S.S.C.</v>
      </c>
      <c r="G15" s="139" t="str">
        <f ca="1">IFERROR(__xludf.DUMMYFUNCTION("""COMPUTED_VALUE"""),"CD67")</f>
        <v>CD67</v>
      </c>
      <c r="H15" s="139" t="str">
        <f ca="1">IFERROR(__xludf.DUMMYFUNCTION("""COMPUTED_VALUE"""),"inactivité 1ère année")</f>
        <v>inactivité 1ère année</v>
      </c>
    </row>
    <row r="16" spans="1:8" ht="12.75">
      <c r="A16" s="46">
        <f ca="1">IFERROR(__xludf.DUMMYFUNCTION("""COMPUTED_VALUE"""),4)</f>
        <v>4</v>
      </c>
      <c r="B16" s="65" t="str">
        <f ca="1">IFERROR(__xludf.DUMMYFUNCTION("""COMPUTED_VALUE"""),"674049")</f>
        <v>674049</v>
      </c>
      <c r="C16" s="48" t="str">
        <f ca="1">IFERROR(__xludf.DUMMYFUNCTION("""COMPUTED_VALUE"""),"AMBERG")</f>
        <v>AMBERG</v>
      </c>
      <c r="D16" s="48" t="str">
        <f ca="1">IFERROR(__xludf.DUMMYFUNCTION("""COMPUTED_VALUE"""),"Christophe")</f>
        <v>Christophe</v>
      </c>
      <c r="E16" s="49" t="str">
        <f ca="1">IFERROR(__xludf.DUMMYFUNCTION("""COMPUTED_VALUE"""),"06670114")</f>
        <v>06670114</v>
      </c>
      <c r="F16" s="48" t="str">
        <f ca="1">IFERROR(__xludf.DUMMYFUNCTION("""COMPUTED_VALUE"""),"KESKASTEL TT")</f>
        <v>KESKASTEL TT</v>
      </c>
      <c r="G16" s="50" t="str">
        <f ca="1">IFERROR(__xludf.DUMMYFUNCTION("""COMPUTED_VALUE"""),"CD67")</f>
        <v>CD67</v>
      </c>
      <c r="H16" s="50" t="str">
        <f ca="1">IFERROR(__xludf.DUMMYFUNCTION("""COMPUTED_VALUE"""),"actif")</f>
        <v>actif</v>
      </c>
    </row>
    <row r="17" spans="1:8" ht="12.75">
      <c r="A17" s="46">
        <f ca="1">IFERROR(__xludf.DUMMYFUNCTION("""COMPUTED_VALUE"""),5)</f>
        <v>5</v>
      </c>
      <c r="B17" s="65" t="str">
        <f ca="1">IFERROR(__xludf.DUMMYFUNCTION("""COMPUTED_VALUE"""),"6721013")</f>
        <v>6721013</v>
      </c>
      <c r="C17" s="48" t="str">
        <f ca="1">IFERROR(__xludf.DUMMYFUNCTION("""COMPUTED_VALUE"""),"AMRHEIN")</f>
        <v>AMRHEIN</v>
      </c>
      <c r="D17" s="48" t="str">
        <f ca="1">IFERROR(__xludf.DUMMYFUNCTION("""COMPUTED_VALUE"""),"Louis")</f>
        <v>Louis</v>
      </c>
      <c r="E17" s="49" t="str">
        <f ca="1">IFERROR(__xludf.DUMMYFUNCTION("""COMPUTED_VALUE"""),"06670160")</f>
        <v>06670160</v>
      </c>
      <c r="F17" s="48" t="str">
        <f ca="1">IFERROR(__xludf.DUMMYFUNCTION("""COMPUTED_VALUE"""),"T.T.Haguenau Wissembourg")</f>
        <v>T.T.Haguenau Wissembourg</v>
      </c>
      <c r="G17" s="50" t="str">
        <f ca="1">IFERROR(__xludf.DUMMYFUNCTION("""COMPUTED_VALUE"""),"CD67")</f>
        <v>CD67</v>
      </c>
      <c r="H17" s="50" t="str">
        <f ca="1">IFERROR(__xludf.DUMMYFUNCTION("""COMPUTED_VALUE"""),"actif")</f>
        <v>actif</v>
      </c>
    </row>
    <row r="18" spans="1:8" ht="12.75">
      <c r="A18" s="46">
        <f ca="1">IFERROR(__xludf.DUMMYFUNCTION("""COMPUTED_VALUE"""),6)</f>
        <v>6</v>
      </c>
      <c r="B18" s="65" t="str">
        <f ca="1">IFERROR(__xludf.DUMMYFUNCTION("""COMPUTED_VALUE"""),"081379")</f>
        <v>081379</v>
      </c>
      <c r="C18" s="48" t="str">
        <f ca="1">IFERROR(__xludf.DUMMYFUNCTION("""COMPUTED_VALUE"""),"ANCELIN")</f>
        <v>ANCELIN</v>
      </c>
      <c r="D18" s="48" t="str">
        <f ca="1">IFERROR(__xludf.DUMMYFUNCTION("""COMPUTED_VALUE"""),"Yvon")</f>
        <v>Yvon</v>
      </c>
      <c r="E18" s="49" t="str">
        <f ca="1">IFERROR(__xludf.DUMMYFUNCTION("""COMPUTED_VALUE"""),"06080043")</f>
        <v>06080043</v>
      </c>
      <c r="F18" s="48" t="str">
        <f ca="1">IFERROR(__xludf.DUMMYFUNCTION("""COMPUTED_VALUE"""),"ETREPIGNY TT")</f>
        <v>ETREPIGNY TT</v>
      </c>
      <c r="G18" s="50" t="str">
        <f ca="1">IFERROR(__xludf.DUMMYFUNCTION("""COMPUTED_VALUE"""),"CD08")</f>
        <v>CD08</v>
      </c>
      <c r="H18" s="50" t="str">
        <f ca="1">IFERROR(__xludf.DUMMYFUNCTION("""COMPUTED_VALUE"""),"inactivité 3ème année")</f>
        <v>inactivité 3ème année</v>
      </c>
    </row>
    <row r="19" spans="1:8" ht="12.75">
      <c r="A19" s="46">
        <f ca="1">IFERROR(__xludf.DUMMYFUNCTION("""COMPUTED_VALUE"""),7)</f>
        <v>7</v>
      </c>
      <c r="B19" s="65" t="str">
        <f ca="1">IFERROR(__xludf.DUMMYFUNCTION("""COMPUTED_VALUE"""),"885535")</f>
        <v>885535</v>
      </c>
      <c r="C19" s="48" t="str">
        <f ca="1">IFERROR(__xludf.DUMMYFUNCTION("""COMPUTED_VALUE"""),"ANDRE")</f>
        <v>ANDRE</v>
      </c>
      <c r="D19" s="48" t="str">
        <f ca="1">IFERROR(__xludf.DUMMYFUNCTION("""COMPUTED_VALUE"""),"Eric")</f>
        <v>Eric</v>
      </c>
      <c r="E19" s="49" t="str">
        <f ca="1">IFERROR(__xludf.DUMMYFUNCTION("""COMPUTED_VALUE"""),"06880145")</f>
        <v>06880145</v>
      </c>
      <c r="F19" s="48" t="str">
        <f ca="1">IFERROR(__xludf.DUMMYFUNCTION("""COMPUTED_VALUE"""),"THAON CHENIMENIL E.S.T.T.")</f>
        <v>THAON CHENIMENIL E.S.T.T.</v>
      </c>
      <c r="G19" s="50" t="str">
        <f ca="1">IFERROR(__xludf.DUMMYFUNCTION("""COMPUTED_VALUE"""),"CD88")</f>
        <v>CD88</v>
      </c>
      <c r="H19" s="50" t="str">
        <f ca="1">IFERROR(__xludf.DUMMYFUNCTION("""COMPUTED_VALUE"""),"inactivité 1ère année")</f>
        <v>inactivité 1ère année</v>
      </c>
    </row>
    <row r="20" spans="1:8" ht="12.75">
      <c r="A20" s="46">
        <f ca="1">IFERROR(__xludf.DUMMYFUNCTION("""COMPUTED_VALUE"""),8)</f>
        <v>8</v>
      </c>
      <c r="B20" s="65" t="str">
        <f ca="1">IFERROR(__xludf.DUMMYFUNCTION("""COMPUTED_VALUE"""),"5433241")</f>
        <v>5433241</v>
      </c>
      <c r="C20" s="48" t="str">
        <f ca="1">IFERROR(__xludf.DUMMYFUNCTION("""COMPUTED_VALUE"""),"APPARU")</f>
        <v>APPARU</v>
      </c>
      <c r="D20" s="48" t="str">
        <f ca="1">IFERROR(__xludf.DUMMYFUNCTION("""COMPUTED_VALUE"""),"Quentin")</f>
        <v>Quentin</v>
      </c>
      <c r="E20" s="49" t="str">
        <f ca="1">IFERROR(__xludf.DUMMYFUNCTION("""COMPUTED_VALUE"""),"06540032")</f>
        <v>06540032</v>
      </c>
      <c r="F20" s="48" t="str">
        <f ca="1">IFERROR(__xludf.DUMMYFUNCTION("""COMPUTED_VALUE"""),"NEUVES MAISONS TT")</f>
        <v>NEUVES MAISONS TT</v>
      </c>
      <c r="G20" s="50" t="str">
        <f ca="1">IFERROR(__xludf.DUMMYFUNCTION("""COMPUTED_VALUE"""),"CD54")</f>
        <v>CD54</v>
      </c>
      <c r="H20" s="50" t="str">
        <f ca="1">IFERROR(__xludf.DUMMYFUNCTION("""COMPUTED_VALUE"""),"inactivité 2ème année")</f>
        <v>inactivité 2ème année</v>
      </c>
    </row>
    <row r="21" spans="1:8" ht="12.75">
      <c r="A21" s="46">
        <f ca="1">IFERROR(__xludf.DUMMYFUNCTION("""COMPUTED_VALUE"""),9)</f>
        <v>9</v>
      </c>
      <c r="B21" s="65" t="str">
        <f ca="1">IFERROR(__xludf.DUMMYFUNCTION("""COMPUTED_VALUE"""),"553706")</f>
        <v>553706</v>
      </c>
      <c r="C21" s="48" t="str">
        <f ca="1">IFERROR(__xludf.DUMMYFUNCTION("""COMPUTED_VALUE"""),"ARBONNEAU")</f>
        <v>ARBONNEAU</v>
      </c>
      <c r="D21" s="48" t="str">
        <f ca="1">IFERROR(__xludf.DUMMYFUNCTION("""COMPUTED_VALUE"""),"David")</f>
        <v>David</v>
      </c>
      <c r="E21" s="49" t="str">
        <f ca="1">IFERROR(__xludf.DUMMYFUNCTION("""COMPUTED_VALUE"""),"06540034")</f>
        <v>06540034</v>
      </c>
      <c r="F21" s="48" t="str">
        <f ca="1">IFERROR(__xludf.DUMMYFUNCTION("""COMPUTED_VALUE"""),"SAINT MAX T.T.H.R.")</f>
        <v>SAINT MAX T.T.H.R.</v>
      </c>
      <c r="G21" s="50" t="str">
        <f ca="1">IFERROR(__xludf.DUMMYFUNCTION("""COMPUTED_VALUE"""),"CD54")</f>
        <v>CD54</v>
      </c>
      <c r="H21" s="50" t="str">
        <f ca="1">IFERROR(__xludf.DUMMYFUNCTION("""COMPUTED_VALUE"""),"inactivité 2ème année")</f>
        <v>inactivité 2ème année</v>
      </c>
    </row>
    <row r="22" spans="1:8" ht="12.75">
      <c r="A22" s="46">
        <f ca="1">IFERROR(__xludf.DUMMYFUNCTION("""COMPUTED_VALUE"""),10)</f>
        <v>10</v>
      </c>
      <c r="B22" s="65" t="str">
        <f ca="1">IFERROR(__xludf.DUMMYFUNCTION("""COMPUTED_VALUE"""),"105931")</f>
        <v>105931</v>
      </c>
      <c r="C22" s="48" t="str">
        <f ca="1">IFERROR(__xludf.DUMMYFUNCTION("""COMPUTED_VALUE"""),"ARCELIN")</f>
        <v>ARCELIN</v>
      </c>
      <c r="D22" s="48" t="str">
        <f ca="1">IFERROR(__xludf.DUMMYFUNCTION("""COMPUTED_VALUE"""),"Alix")</f>
        <v>Alix</v>
      </c>
      <c r="E22" s="49" t="str">
        <f ca="1">IFERROR(__xludf.DUMMYFUNCTION("""COMPUTED_VALUE"""),"06100032")</f>
        <v>06100032</v>
      </c>
      <c r="F22" s="48" t="str">
        <f ca="1">IFERROR(__xludf.DUMMYFUNCTION("""COMPUTED_VALUE"""),"SAINT ANDRE ASTT Dryate")</f>
        <v>SAINT ANDRE ASTT Dryate</v>
      </c>
      <c r="G22" s="50" t="str">
        <f ca="1">IFERROR(__xludf.DUMMYFUNCTION("""COMPUTED_VALUE"""),"CD10")</f>
        <v>CD10</v>
      </c>
      <c r="H22" s="50" t="str">
        <f ca="1">IFERROR(__xludf.DUMMYFUNCTION("""COMPUTED_VALUE"""),"inactivité 2ème année")</f>
        <v>inactivité 2ème année</v>
      </c>
    </row>
    <row r="23" spans="1:8" ht="12.75">
      <c r="A23" s="46">
        <f ca="1">IFERROR(__xludf.DUMMYFUNCTION("""COMPUTED_VALUE"""),11)</f>
        <v>11</v>
      </c>
      <c r="B23" s="65" t="str">
        <f ca="1">IFERROR(__xludf.DUMMYFUNCTION("""COMPUTED_VALUE"""),"916316")</f>
        <v>916316</v>
      </c>
      <c r="C23" s="48" t="str">
        <f ca="1">IFERROR(__xludf.DUMMYFUNCTION("""COMPUTED_VALUE"""),"ARNAUD")</f>
        <v>ARNAUD</v>
      </c>
      <c r="D23" s="48" t="str">
        <f ca="1">IFERROR(__xludf.DUMMYFUNCTION("""COMPUTED_VALUE"""),"Christian")</f>
        <v>Christian</v>
      </c>
      <c r="E23" s="49" t="str">
        <f ca="1">IFERROR(__xludf.DUMMYFUNCTION("""COMPUTED_VALUE"""),"06670014")</f>
        <v>06670014</v>
      </c>
      <c r="F23" s="48" t="str">
        <f ca="1">IFERROR(__xludf.DUMMYFUNCTION("""COMPUTED_VALUE"""),"ILLKIRCH GRAFFENSTADEN AP")</f>
        <v>ILLKIRCH GRAFFENSTADEN AP</v>
      </c>
      <c r="G23" s="50" t="str">
        <f ca="1">IFERROR(__xludf.DUMMYFUNCTION("""COMPUTED_VALUE"""),"CD67")</f>
        <v>CD67</v>
      </c>
      <c r="H23" s="50" t="str">
        <f ca="1">IFERROR(__xludf.DUMMYFUNCTION("""COMPUTED_VALUE"""),"actif")</f>
        <v>actif</v>
      </c>
    </row>
    <row r="24" spans="1:8" ht="12.75">
      <c r="A24" s="46">
        <f ca="1">IFERROR(__xludf.DUMMYFUNCTION("""COMPUTED_VALUE"""),12)</f>
        <v>12</v>
      </c>
      <c r="B24" s="65" t="str">
        <f ca="1">IFERROR(__xludf.DUMMYFUNCTION("""COMPUTED_VALUE"""),"571130")</f>
        <v>571130</v>
      </c>
      <c r="C24" s="48" t="str">
        <f ca="1">IFERROR(__xludf.DUMMYFUNCTION("""COMPUTED_VALUE"""),"ARNOLD")</f>
        <v>ARNOLD</v>
      </c>
      <c r="D24" s="48" t="str">
        <f ca="1">IFERROR(__xludf.DUMMYFUNCTION("""COMPUTED_VALUE"""),"Christian")</f>
        <v>Christian</v>
      </c>
      <c r="E24" s="49" t="str">
        <f ca="1">IFERROR(__xludf.DUMMYFUNCTION("""COMPUTED_VALUE"""),"06570078")</f>
        <v>06570078</v>
      </c>
      <c r="F24" s="48" t="str">
        <f ca="1">IFERROR(__xludf.DUMMYFUNCTION("""COMPUTED_VALUE"""),"CLOUANGE T.T.")</f>
        <v>CLOUANGE T.T.</v>
      </c>
      <c r="G24" s="50" t="str">
        <f ca="1">IFERROR(__xludf.DUMMYFUNCTION("""COMPUTED_VALUE"""),"CD57")</f>
        <v>CD57</v>
      </c>
      <c r="H24" s="50" t="str">
        <f ca="1">IFERROR(__xludf.DUMMYFUNCTION("""COMPUTED_VALUE"""),"actif")</f>
        <v>actif</v>
      </c>
    </row>
    <row r="25" spans="1:8" ht="12.75">
      <c r="A25" s="46">
        <f ca="1">IFERROR(__xludf.DUMMYFUNCTION("""COMPUTED_VALUE"""),13)</f>
        <v>13</v>
      </c>
      <c r="B25" s="65" t="str">
        <f ca="1">IFERROR(__xludf.DUMMYFUNCTION("""COMPUTED_VALUE"""),"085868")</f>
        <v>085868</v>
      </c>
      <c r="C25" s="48" t="str">
        <f ca="1">IFERROR(__xludf.DUMMYFUNCTION("""COMPUTED_VALUE"""),"AUCHTER")</f>
        <v>AUCHTER</v>
      </c>
      <c r="D25" s="48" t="str">
        <f ca="1">IFERROR(__xludf.DUMMYFUNCTION("""COMPUTED_VALUE"""),"Morgan")</f>
        <v>Morgan</v>
      </c>
      <c r="E25" s="49" t="str">
        <f ca="1">IFERROR(__xludf.DUMMYFUNCTION("""COMPUTED_VALUE"""),"06080024")</f>
        <v>06080024</v>
      </c>
      <c r="F25" s="48" t="str">
        <f ca="1">IFERROR(__xludf.DUMMYFUNCTION("""COMPUTED_VALUE"""),"FLOING PPC")</f>
        <v>FLOING PPC</v>
      </c>
      <c r="G25" s="50" t="str">
        <f ca="1">IFERROR(__xludf.DUMMYFUNCTION("""COMPUTED_VALUE"""),"CD08")</f>
        <v>CD08</v>
      </c>
      <c r="H25" s="50" t="str">
        <f ca="1">IFERROR(__xludf.DUMMYFUNCTION("""COMPUTED_VALUE"""),"inactivité 3ème année")</f>
        <v>inactivité 3ème année</v>
      </c>
    </row>
    <row r="26" spans="1:8" ht="12.75">
      <c r="A26" s="46">
        <f ca="1">IFERROR(__xludf.DUMMYFUNCTION("""COMPUTED_VALUE"""),14)</f>
        <v>14</v>
      </c>
      <c r="B26" s="65" t="str">
        <f ca="1">IFERROR(__xludf.DUMMYFUNCTION("""COMPUTED_VALUE"""),"6727983")</f>
        <v>6727983</v>
      </c>
      <c r="C26" s="48" t="str">
        <f ca="1">IFERROR(__xludf.DUMMYFUNCTION("""COMPUTED_VALUE"""),"AUDIGIE")</f>
        <v>AUDIGIE</v>
      </c>
      <c r="D26" s="48" t="str">
        <f ca="1">IFERROR(__xludf.DUMMYFUNCTION("""COMPUTED_VALUE"""),"Nicolas")</f>
        <v>Nicolas</v>
      </c>
      <c r="E26" s="49" t="str">
        <f ca="1">IFERROR(__xludf.DUMMYFUNCTION("""COMPUTED_VALUE"""),"06670270")</f>
        <v>06670270</v>
      </c>
      <c r="F26" s="48" t="str">
        <f ca="1">IFERROR(__xludf.DUMMYFUNCTION("""COMPUTED_VALUE"""),"STRASBOURG EUROMETROPOLE TT")</f>
        <v>STRASBOURG EUROMETROPOLE TT</v>
      </c>
      <c r="G26" s="50" t="str">
        <f ca="1">IFERROR(__xludf.DUMMYFUNCTION("""COMPUTED_VALUE"""),"CD67")</f>
        <v>CD67</v>
      </c>
      <c r="H26" s="50" t="str">
        <f ca="1">IFERROR(__xludf.DUMMYFUNCTION("""COMPUTED_VALUE"""),"actif")</f>
        <v>actif</v>
      </c>
    </row>
    <row r="27" spans="1:8" ht="12.75">
      <c r="A27" s="46">
        <f ca="1">IFERROR(__xludf.DUMMYFUNCTION("""COMPUTED_VALUE"""),15)</f>
        <v>15</v>
      </c>
      <c r="B27" s="65" t="str">
        <f ca="1">IFERROR(__xludf.DUMMYFUNCTION("""COMPUTED_VALUE"""),"576616")</f>
        <v>576616</v>
      </c>
      <c r="C27" s="48" t="str">
        <f ca="1">IFERROR(__xludf.DUMMYFUNCTION("""COMPUTED_VALUE"""),"BACH")</f>
        <v>BACH</v>
      </c>
      <c r="D27" s="48" t="str">
        <f ca="1">IFERROR(__xludf.DUMMYFUNCTION("""COMPUTED_VALUE"""),"Nathalie")</f>
        <v>Nathalie</v>
      </c>
      <c r="E27" s="49" t="str">
        <f ca="1">IFERROR(__xludf.DUMMYFUNCTION("""COMPUTED_VALUE"""),"06570030")</f>
        <v>06570030</v>
      </c>
      <c r="F27" s="48" t="str">
        <f ca="1">IFERROR(__xludf.DUMMYFUNCTION("""COMPUTED_VALUE"""),"SPICHEREN C.S.N.")</f>
        <v>SPICHEREN C.S.N.</v>
      </c>
      <c r="G27" s="50" t="str">
        <f ca="1">IFERROR(__xludf.DUMMYFUNCTION("""COMPUTED_VALUE"""),"CD57")</f>
        <v>CD57</v>
      </c>
      <c r="H27" s="50" t="str">
        <f ca="1">IFERROR(__xludf.DUMMYFUNCTION("""COMPUTED_VALUE"""),"inactivité 2ème année")</f>
        <v>inactivité 2ème année</v>
      </c>
    </row>
    <row r="28" spans="1:8" ht="12.75">
      <c r="A28" s="46">
        <f ca="1">IFERROR(__xludf.DUMMYFUNCTION("""COMPUTED_VALUE"""),16)</f>
        <v>16</v>
      </c>
      <c r="B28" s="65" t="str">
        <f ca="1">IFERROR(__xludf.DUMMYFUNCTION("""COMPUTED_VALUE"""),"68695")</f>
        <v>68695</v>
      </c>
      <c r="C28" s="48" t="str">
        <f ca="1">IFERROR(__xludf.DUMMYFUNCTION("""COMPUTED_VALUE"""),"BAERENZUNG")</f>
        <v>BAERENZUNG</v>
      </c>
      <c r="D28" s="48" t="str">
        <f ca="1">IFERROR(__xludf.DUMMYFUNCTION("""COMPUTED_VALUE"""),"Michel")</f>
        <v>Michel</v>
      </c>
      <c r="E28" s="49" t="str">
        <f ca="1">IFERROR(__xludf.DUMMYFUNCTION("""COMPUTED_VALUE"""),"06680004")</f>
        <v>06680004</v>
      </c>
      <c r="F28" s="48" t="str">
        <f ca="1">IFERROR(__xludf.DUMMYFUNCTION("""COMPUTED_VALUE"""),"COLMAR MJC")</f>
        <v>COLMAR MJC</v>
      </c>
      <c r="G28" s="50" t="str">
        <f ca="1">IFERROR(__xludf.DUMMYFUNCTION("""COMPUTED_VALUE"""),"CD68")</f>
        <v>CD68</v>
      </c>
      <c r="H28" s="50" t="str">
        <f ca="1">IFERROR(__xludf.DUMMYFUNCTION("""COMPUTED_VALUE"""),"inactivité 1ère année")</f>
        <v>inactivité 1ère année</v>
      </c>
    </row>
    <row r="29" spans="1:8" ht="12.75">
      <c r="A29" s="46">
        <f ca="1">IFERROR(__xludf.DUMMYFUNCTION("""COMPUTED_VALUE"""),17)</f>
        <v>17</v>
      </c>
      <c r="B29" s="65" t="str">
        <f ca="1">IFERROR(__xludf.DUMMYFUNCTION("""COMPUTED_VALUE"""),"5714761")</f>
        <v>5714761</v>
      </c>
      <c r="C29" s="48" t="str">
        <f ca="1">IFERROR(__xludf.DUMMYFUNCTION("""COMPUTED_VALUE"""),"BAILLE")</f>
        <v>BAILLE</v>
      </c>
      <c r="D29" s="48" t="str">
        <f ca="1">IFERROR(__xludf.DUMMYFUNCTION("""COMPUTED_VALUE"""),"Olivier")</f>
        <v>Olivier</v>
      </c>
      <c r="E29" s="49" t="str">
        <f ca="1">IFERROR(__xludf.DUMMYFUNCTION("""COMPUTED_VALUE"""),"06570107")</f>
        <v>06570107</v>
      </c>
      <c r="F29" s="48" t="str">
        <f ca="1">IFERROR(__xludf.DUMMYFUNCTION("""COMPUTED_VALUE"""),"MAIZIÈRES-LÈS-METZ T.T.")</f>
        <v>MAIZIÈRES-LÈS-METZ T.T.</v>
      </c>
      <c r="G29" s="50" t="str">
        <f ca="1">IFERROR(__xludf.DUMMYFUNCTION("""COMPUTED_VALUE"""),"CD57")</f>
        <v>CD57</v>
      </c>
      <c r="H29" s="50" t="str">
        <f ca="1">IFERROR(__xludf.DUMMYFUNCTION("""COMPUTED_VALUE"""),"inactivité 2ème année")</f>
        <v>inactivité 2ème année</v>
      </c>
    </row>
    <row r="30" spans="1:8" ht="12.75">
      <c r="A30" s="46">
        <f ca="1">IFERROR(__xludf.DUMMYFUNCTION("""COMPUTED_VALUE"""),18)</f>
        <v>18</v>
      </c>
      <c r="B30" s="65" t="str">
        <f ca="1">IFERROR(__xludf.DUMMYFUNCTION("""COMPUTED_VALUE"""),"884610")</f>
        <v>884610</v>
      </c>
      <c r="C30" s="48" t="str">
        <f ca="1">IFERROR(__xludf.DUMMYFUNCTION("""COMPUTED_VALUE"""),"BARADEL")</f>
        <v>BARADEL</v>
      </c>
      <c r="D30" s="48" t="str">
        <f ca="1">IFERROR(__xludf.DUMMYFUNCTION("""COMPUTED_VALUE"""),"Lionel")</f>
        <v>Lionel</v>
      </c>
      <c r="E30" s="49" t="str">
        <f ca="1">IFERROR(__xludf.DUMMYFUNCTION("""COMPUTED_VALUE"""),"06680130")</f>
        <v>06680130</v>
      </c>
      <c r="F30" s="48" t="str">
        <f ca="1">IFERROR(__xludf.DUMMYFUNCTION("""COMPUTED_VALUE"""),"VAL de LIEPVRE ASL")</f>
        <v>VAL de LIEPVRE ASL</v>
      </c>
      <c r="G30" s="50" t="str">
        <f ca="1">IFERROR(__xludf.DUMMYFUNCTION("""COMPUTED_VALUE"""),"CD68")</f>
        <v>CD68</v>
      </c>
      <c r="H30" s="50" t="str">
        <f ca="1">IFERROR(__xludf.DUMMYFUNCTION("""COMPUTED_VALUE"""),"actif")</f>
        <v>actif</v>
      </c>
    </row>
    <row r="31" spans="1:8" ht="12.75">
      <c r="A31" s="46">
        <f ca="1">IFERROR(__xludf.DUMMYFUNCTION("""COMPUTED_VALUE"""),19)</f>
        <v>19</v>
      </c>
      <c r="B31" s="65" t="str">
        <f ca="1">IFERROR(__xludf.DUMMYFUNCTION("""COMPUTED_VALUE"""),"5112313")</f>
        <v>5112313</v>
      </c>
      <c r="C31" s="48" t="str">
        <f ca="1">IFERROR(__xludf.DUMMYFUNCTION("""COMPUTED_VALUE"""),"BARBE")</f>
        <v>BARBE</v>
      </c>
      <c r="D31" s="48" t="str">
        <f ca="1">IFERROR(__xludf.DUMMYFUNCTION("""COMPUTED_VALUE"""),"Antoine")</f>
        <v>Antoine</v>
      </c>
      <c r="E31" s="49" t="str">
        <f ca="1">IFERROR(__xludf.DUMMYFUNCTION("""COMPUTED_VALUE"""),"06570005")</f>
        <v>06570005</v>
      </c>
      <c r="F31" s="48" t="str">
        <f ca="1">IFERROR(__xludf.DUMMYFUNCTION("""COMPUTED_VALUE"""),"FAULQUEMONT E.S.C.")</f>
        <v>FAULQUEMONT E.S.C.</v>
      </c>
      <c r="G31" s="50" t="str">
        <f ca="1">IFERROR(__xludf.DUMMYFUNCTION("""COMPUTED_VALUE"""),"CD57")</f>
        <v>CD57</v>
      </c>
      <c r="H31" s="50" t="str">
        <f ca="1">IFERROR(__xludf.DUMMYFUNCTION("""COMPUTED_VALUE"""),"actif")</f>
        <v>actif</v>
      </c>
    </row>
    <row r="32" spans="1:8" ht="12.75">
      <c r="A32" s="46">
        <f ca="1">IFERROR(__xludf.DUMMYFUNCTION("""COMPUTED_VALUE"""),20)</f>
        <v>20</v>
      </c>
      <c r="B32" s="65" t="str">
        <f ca="1">IFERROR(__xludf.DUMMYFUNCTION("""COMPUTED_VALUE"""),"5427633")</f>
        <v>5427633</v>
      </c>
      <c r="C32" s="48" t="str">
        <f ca="1">IFERROR(__xludf.DUMMYFUNCTION("""COMPUTED_VALUE"""),"BARBELIN")</f>
        <v>BARBELIN</v>
      </c>
      <c r="D32" s="48" t="str">
        <f ca="1">IFERROR(__xludf.DUMMYFUNCTION("""COMPUTED_VALUE"""),"Ryan")</f>
        <v>Ryan</v>
      </c>
      <c r="E32" s="49" t="str">
        <f ca="1">IFERROR(__xludf.DUMMYFUNCTION("""COMPUTED_VALUE"""),"06540021")</f>
        <v>06540021</v>
      </c>
      <c r="F32" s="48" t="str">
        <f ca="1">IFERROR(__xludf.DUMMYFUNCTION("""COMPUTED_VALUE"""),"LUNEVILLE A.L.T.T.")</f>
        <v>LUNEVILLE A.L.T.T.</v>
      </c>
      <c r="G32" s="50" t="str">
        <f ca="1">IFERROR(__xludf.DUMMYFUNCTION("""COMPUTED_VALUE"""),"CD54")</f>
        <v>CD54</v>
      </c>
      <c r="H32" s="50" t="str">
        <f ca="1">IFERROR(__xludf.DUMMYFUNCTION("""COMPUTED_VALUE"""),"inactivité 1ère année")</f>
        <v>inactivité 1ère année</v>
      </c>
    </row>
    <row r="33" spans="1:8" ht="12.75">
      <c r="A33" s="46">
        <f ca="1">IFERROR(__xludf.DUMMYFUNCTION("""COMPUTED_VALUE"""),21)</f>
        <v>21</v>
      </c>
      <c r="B33" s="65" t="str">
        <f ca="1">IFERROR(__xludf.DUMMYFUNCTION("""COMPUTED_VALUE"""),"5723038")</f>
        <v>5723038</v>
      </c>
      <c r="C33" s="48" t="str">
        <f ca="1">IFERROR(__xludf.DUMMYFUNCTION("""COMPUTED_VALUE"""),"BARBERA")</f>
        <v>BARBERA</v>
      </c>
      <c r="D33" s="48" t="str">
        <f ca="1">IFERROR(__xludf.DUMMYFUNCTION("""COMPUTED_VALUE"""),"Sebastien")</f>
        <v>Sebastien</v>
      </c>
      <c r="E33" s="49" t="str">
        <f ca="1">IFERROR(__xludf.DUMMYFUNCTION("""COMPUTED_VALUE"""),"06570191")</f>
        <v>06570191</v>
      </c>
      <c r="F33" s="48" t="str">
        <f ca="1">IFERROR(__xludf.DUMMYFUNCTION("""COMPUTED_VALUE"""),"CREUTZWALD Tennis de Table")</f>
        <v>CREUTZWALD Tennis de Table</v>
      </c>
      <c r="G33" s="50" t="str">
        <f ca="1">IFERROR(__xludf.DUMMYFUNCTION("""COMPUTED_VALUE"""),"CD57")</f>
        <v>CD57</v>
      </c>
      <c r="H33" s="50" t="str">
        <f ca="1">IFERROR(__xludf.DUMMYFUNCTION("""COMPUTED_VALUE"""),"inactivité 1ère année")</f>
        <v>inactivité 1ère année</v>
      </c>
    </row>
    <row r="34" spans="1:8" ht="12.75">
      <c r="A34" s="46">
        <f ca="1">IFERROR(__xludf.DUMMYFUNCTION("""COMPUTED_VALUE"""),22)</f>
        <v>22</v>
      </c>
      <c r="B34" s="65" t="str">
        <f ca="1">IFERROR(__xludf.DUMMYFUNCTION("""COMPUTED_VALUE"""),"5113251")</f>
        <v>5113251</v>
      </c>
      <c r="C34" s="48" t="str">
        <f ca="1">IFERROR(__xludf.DUMMYFUNCTION("""COMPUTED_VALUE"""),"BARCELO")</f>
        <v>BARCELO</v>
      </c>
      <c r="D34" s="48" t="str">
        <f ca="1">IFERROR(__xludf.DUMMYFUNCTION("""COMPUTED_VALUE"""),"Joachim")</f>
        <v>Joachim</v>
      </c>
      <c r="E34" s="49" t="str">
        <f ca="1">IFERROR(__xludf.DUMMYFUNCTION("""COMPUTED_VALUE"""),"06510112")</f>
        <v>06510112</v>
      </c>
      <c r="F34" s="48" t="str">
        <f ca="1">IFERROR(__xludf.DUMMYFUNCTION("""COMPUTED_VALUE"""),"CHALONS-EN-CHAMPAGNE TT")</f>
        <v>CHALONS-EN-CHAMPAGNE TT</v>
      </c>
      <c r="G34" s="50" t="str">
        <f ca="1">IFERROR(__xludf.DUMMYFUNCTION("""COMPUTED_VALUE"""),"CD51")</f>
        <v>CD51</v>
      </c>
      <c r="H34" s="50" t="str">
        <f ca="1">IFERROR(__xludf.DUMMYFUNCTION("""COMPUTED_VALUE"""),"inactivité 2ème année")</f>
        <v>inactivité 2ème année</v>
      </c>
    </row>
    <row r="35" spans="1:8" ht="12.75">
      <c r="A35" s="46">
        <f ca="1">IFERROR(__xludf.DUMMYFUNCTION("""COMPUTED_VALUE"""),23)</f>
        <v>23</v>
      </c>
      <c r="B35" s="65" t="str">
        <f ca="1">IFERROR(__xludf.DUMMYFUNCTION("""COMPUTED_VALUE"""),"5113532")</f>
        <v>5113532</v>
      </c>
      <c r="C35" s="48" t="str">
        <f ca="1">IFERROR(__xludf.DUMMYFUNCTION("""COMPUTED_VALUE"""),"BARCELO")</f>
        <v>BARCELO</v>
      </c>
      <c r="D35" s="48" t="str">
        <f ca="1">IFERROR(__xludf.DUMMYFUNCTION("""COMPUTED_VALUE"""),"Amaury")</f>
        <v>Amaury</v>
      </c>
      <c r="E35" s="49" t="str">
        <f ca="1">IFERROR(__xludf.DUMMYFUNCTION("""COMPUTED_VALUE"""),"06510112")</f>
        <v>06510112</v>
      </c>
      <c r="F35" s="48" t="str">
        <f ca="1">IFERROR(__xludf.DUMMYFUNCTION("""COMPUTED_VALUE"""),"CHALONS-EN-CHAMPAGNE TT")</f>
        <v>CHALONS-EN-CHAMPAGNE TT</v>
      </c>
      <c r="G35" s="50" t="str">
        <f ca="1">IFERROR(__xludf.DUMMYFUNCTION("""COMPUTED_VALUE"""),"CD51")</f>
        <v>CD51</v>
      </c>
      <c r="H35" s="50" t="str">
        <f ca="1">IFERROR(__xludf.DUMMYFUNCTION("""COMPUTED_VALUE"""),"inactivité 1ère année")</f>
        <v>inactivité 1ère année</v>
      </c>
    </row>
    <row r="36" spans="1:8" ht="12.75">
      <c r="A36" s="46">
        <f ca="1">IFERROR(__xludf.DUMMYFUNCTION("""COMPUTED_VALUE"""),24)</f>
        <v>24</v>
      </c>
      <c r="B36" s="65" t="str">
        <f ca="1">IFERROR(__xludf.DUMMYFUNCTION("""COMPUTED_VALUE"""),"517784")</f>
        <v>517784</v>
      </c>
      <c r="C36" s="48" t="str">
        <f ca="1">IFERROR(__xludf.DUMMYFUNCTION("""COMPUTED_VALUE"""),"BARRIER")</f>
        <v>BARRIER</v>
      </c>
      <c r="D36" s="48" t="str">
        <f ca="1">IFERROR(__xludf.DUMMYFUNCTION("""COMPUTED_VALUE"""),"Baptiste")</f>
        <v>Baptiste</v>
      </c>
      <c r="E36" s="49" t="str">
        <f ca="1">IFERROR(__xludf.DUMMYFUNCTION("""COMPUTED_VALUE"""),"06510018")</f>
        <v>06510018</v>
      </c>
      <c r="F36" s="48" t="str">
        <f ca="1">IFERROR(__xludf.DUMMYFUNCTION("""COMPUTED_VALUE"""),"REIMS ASPTT")</f>
        <v>REIMS ASPTT</v>
      </c>
      <c r="G36" s="50" t="str">
        <f ca="1">IFERROR(__xludf.DUMMYFUNCTION("""COMPUTED_VALUE"""),"CD51")</f>
        <v>CD51</v>
      </c>
      <c r="H36" s="50" t="str">
        <f ca="1">IFERROR(__xludf.DUMMYFUNCTION("""COMPUTED_VALUE"""),"inactivité 3ème année")</f>
        <v>inactivité 3ème année</v>
      </c>
    </row>
    <row r="37" spans="1:8" ht="12.75">
      <c r="A37" s="46">
        <f ca="1">IFERROR(__xludf.DUMMYFUNCTION("""COMPUTED_VALUE"""),25)</f>
        <v>25</v>
      </c>
      <c r="B37" s="65" t="str">
        <f ca="1">IFERROR(__xludf.DUMMYFUNCTION("""COMPUTED_VALUE"""),"10136")</f>
        <v>10136</v>
      </c>
      <c r="C37" s="48" t="str">
        <f ca="1">IFERROR(__xludf.DUMMYFUNCTION("""COMPUTED_VALUE"""),"BARTHELEMY")</f>
        <v>BARTHELEMY</v>
      </c>
      <c r="D37" s="48" t="str">
        <f ca="1">IFERROR(__xludf.DUMMYFUNCTION("""COMPUTED_VALUE"""),"Christian")</f>
        <v>Christian</v>
      </c>
      <c r="E37" s="49" t="str">
        <f ca="1">IFERROR(__xludf.DUMMYFUNCTION("""COMPUTED_VALUE"""),"06100005")</f>
        <v>06100005</v>
      </c>
      <c r="F37" s="48" t="str">
        <f ca="1">IFERROR(__xludf.DUMMYFUNCTION("""COMPUTED_VALUE"""),"ROMILLY SPORTS 10")</f>
        <v>ROMILLY SPORTS 10</v>
      </c>
      <c r="G37" s="50" t="str">
        <f ca="1">IFERROR(__xludf.DUMMYFUNCTION("""COMPUTED_VALUE"""),"CD10")</f>
        <v>CD10</v>
      </c>
      <c r="H37" s="50" t="str">
        <f ca="1">IFERROR(__xludf.DUMMYFUNCTION("""COMPUTED_VALUE"""),"actif")</f>
        <v>actif</v>
      </c>
    </row>
    <row r="38" spans="1:8" ht="12.75">
      <c r="A38" s="46">
        <f ca="1">IFERROR(__xludf.DUMMYFUNCTION("""COMPUTED_VALUE"""),26)</f>
        <v>26</v>
      </c>
      <c r="B38" s="65" t="str">
        <f ca="1">IFERROR(__xludf.DUMMYFUNCTION("""COMPUTED_VALUE"""),"5430532")</f>
        <v>5430532</v>
      </c>
      <c r="C38" s="48" t="str">
        <f ca="1">IFERROR(__xludf.DUMMYFUNCTION("""COMPUTED_VALUE"""),"BASSIN")</f>
        <v>BASSIN</v>
      </c>
      <c r="D38" s="48" t="str">
        <f ca="1">IFERROR(__xludf.DUMMYFUNCTION("""COMPUTED_VALUE"""),"Christophe")</f>
        <v>Christophe</v>
      </c>
      <c r="E38" s="49" t="str">
        <f ca="1">IFERROR(__xludf.DUMMYFUNCTION("""COMPUTED_VALUE"""),"06540184")</f>
        <v>06540184</v>
      </c>
      <c r="F38" s="48" t="str">
        <f ca="1">IFERROR(__xludf.DUMMYFUNCTION("""COMPUTED_VALUE"""),"BATILLY Tennis de Table")</f>
        <v>BATILLY Tennis de Table</v>
      </c>
      <c r="G38" s="50" t="str">
        <f ca="1">IFERROR(__xludf.DUMMYFUNCTION("""COMPUTED_VALUE"""),"CD54")</f>
        <v>CD54</v>
      </c>
      <c r="H38" s="50" t="str">
        <f ca="1">IFERROR(__xludf.DUMMYFUNCTION("""COMPUTED_VALUE"""),"actif")</f>
        <v>actif</v>
      </c>
    </row>
    <row r="39" spans="1:8" ht="12.75">
      <c r="A39" s="46">
        <f ca="1">IFERROR(__xludf.DUMMYFUNCTION("""COMPUTED_VALUE"""),27)</f>
        <v>27</v>
      </c>
      <c r="B39" s="65" t="str">
        <f ca="1">IFERROR(__xludf.DUMMYFUNCTION("""COMPUTED_VALUE"""),"3412651")</f>
        <v>3412651</v>
      </c>
      <c r="C39" s="48" t="str">
        <f ca="1">IFERROR(__xludf.DUMMYFUNCTION("""COMPUTED_VALUE"""),"BEAUCLAIR")</f>
        <v>BEAUCLAIR</v>
      </c>
      <c r="D39" s="48" t="str">
        <f ca="1">IFERROR(__xludf.DUMMYFUNCTION("""COMPUTED_VALUE"""),"Karim")</f>
        <v>Karim</v>
      </c>
      <c r="E39" s="49" t="str">
        <f ca="1">IFERROR(__xludf.DUMMYFUNCTION("""COMPUTED_VALUE"""),"06100040")</f>
        <v>06100040</v>
      </c>
      <c r="F39" s="48" t="str">
        <f ca="1">IFERROR(__xludf.DUMMYFUNCTION("""COMPUTED_VALUE"""),"ROMILLY-VILLENAUXE CAP")</f>
        <v>ROMILLY-VILLENAUXE CAP</v>
      </c>
      <c r="G39" s="50" t="str">
        <f ca="1">IFERROR(__xludf.DUMMYFUNCTION("""COMPUTED_VALUE"""),"CD10")</f>
        <v>CD10</v>
      </c>
      <c r="H39" s="50" t="str">
        <f ca="1">IFERROR(__xludf.DUMMYFUNCTION("""COMPUTED_VALUE"""),"inactivité 3ème année")</f>
        <v>inactivité 3ème année</v>
      </c>
    </row>
    <row r="40" spans="1:8" ht="12.75">
      <c r="A40" s="46">
        <f ca="1">IFERROR(__xludf.DUMMYFUNCTION("""COMPUTED_VALUE"""),28)</f>
        <v>28</v>
      </c>
      <c r="B40" s="65" t="str">
        <f ca="1">IFERROR(__xludf.DUMMYFUNCTION("""COMPUTED_VALUE"""),"813678")</f>
        <v>813678</v>
      </c>
      <c r="C40" s="48" t="str">
        <f ca="1">IFERROR(__xludf.DUMMYFUNCTION("""COMPUTED_VALUE"""),"BELHAIRE")</f>
        <v>BELHAIRE</v>
      </c>
      <c r="D40" s="48" t="str">
        <f ca="1">IFERROR(__xludf.DUMMYFUNCTION("""COMPUTED_VALUE"""),"Wendy")</f>
        <v>Wendy</v>
      </c>
      <c r="E40" s="49" t="str">
        <f ca="1">IFERROR(__xludf.DUMMYFUNCTION("""COMPUTED_VALUE"""),"06510112")</f>
        <v>06510112</v>
      </c>
      <c r="F40" s="48" t="str">
        <f ca="1">IFERROR(__xludf.DUMMYFUNCTION("""COMPUTED_VALUE"""),"CHALONS-EN-CHAMPAGNE TT")</f>
        <v>CHALONS-EN-CHAMPAGNE TT</v>
      </c>
      <c r="G40" s="50" t="str">
        <f ca="1">IFERROR(__xludf.DUMMYFUNCTION("""COMPUTED_VALUE"""),"CD51")</f>
        <v>CD51</v>
      </c>
      <c r="H40" s="50" t="str">
        <f ca="1">IFERROR(__xludf.DUMMYFUNCTION("""COMPUTED_VALUE"""),"inactivité 2ème année")</f>
        <v>inactivité 2ème année</v>
      </c>
    </row>
    <row r="41" spans="1:8" ht="12.75">
      <c r="A41" s="46">
        <f ca="1">IFERROR(__xludf.DUMMYFUNCTION("""COMPUTED_VALUE"""),29)</f>
        <v>29</v>
      </c>
      <c r="B41" s="65" t="str">
        <f ca="1">IFERROR(__xludf.DUMMYFUNCTION("""COMPUTED_VALUE"""),"5730502")</f>
        <v>5730502</v>
      </c>
      <c r="C41" s="48" t="str">
        <f ca="1">IFERROR(__xludf.DUMMYFUNCTION("""COMPUTED_VALUE"""),"BENARD")</f>
        <v>BENARD</v>
      </c>
      <c r="D41" s="48" t="str">
        <f ca="1">IFERROR(__xludf.DUMMYFUNCTION("""COMPUTED_VALUE"""),"Loic")</f>
        <v>Loic</v>
      </c>
      <c r="E41" s="49" t="str">
        <f ca="1">IFERROR(__xludf.DUMMYFUNCTION("""COMPUTED_VALUE"""),"06570180")</f>
        <v>06570180</v>
      </c>
      <c r="F41" s="48" t="str">
        <f ca="1">IFERROR(__xludf.DUMMYFUNCTION("""COMPUTED_VALUE"""),"BEHREN LES FORBACH TT")</f>
        <v>BEHREN LES FORBACH TT</v>
      </c>
      <c r="G41" s="50" t="str">
        <f ca="1">IFERROR(__xludf.DUMMYFUNCTION("""COMPUTED_VALUE"""),"CD57")</f>
        <v>CD57</v>
      </c>
      <c r="H41" s="50" t="str">
        <f ca="1">IFERROR(__xludf.DUMMYFUNCTION("""COMPUTED_VALUE"""),"inactivité 1ère année")</f>
        <v>inactivité 1ère année</v>
      </c>
    </row>
    <row r="42" spans="1:8" ht="12.75">
      <c r="A42" s="46">
        <f ca="1">IFERROR(__xludf.DUMMYFUNCTION("""COMPUTED_VALUE"""),30)</f>
        <v>30</v>
      </c>
      <c r="B42" s="65" t="str">
        <f ca="1">IFERROR(__xludf.DUMMYFUNCTION("""COMPUTED_VALUE"""),"54479")</f>
        <v>54479</v>
      </c>
      <c r="C42" s="48" t="str">
        <f ca="1">IFERROR(__xludf.DUMMYFUNCTION("""COMPUTED_VALUE"""),"BERNARD")</f>
        <v>BERNARD</v>
      </c>
      <c r="D42" s="48" t="str">
        <f ca="1">IFERROR(__xludf.DUMMYFUNCTION("""COMPUTED_VALUE"""),"Nicole")</f>
        <v>Nicole</v>
      </c>
      <c r="E42" s="49" t="str">
        <f ca="1">IFERROR(__xludf.DUMMYFUNCTION("""COMPUTED_VALUE"""),"06540021")</f>
        <v>06540021</v>
      </c>
      <c r="F42" s="48" t="str">
        <f ca="1">IFERROR(__xludf.DUMMYFUNCTION("""COMPUTED_VALUE"""),"LUNEVILLE A.L.T.T.")</f>
        <v>LUNEVILLE A.L.T.T.</v>
      </c>
      <c r="G42" s="50" t="str">
        <f ca="1">IFERROR(__xludf.DUMMYFUNCTION("""COMPUTED_VALUE"""),"CD54")</f>
        <v>CD54</v>
      </c>
      <c r="H42" s="50" t="str">
        <f ca="1">IFERROR(__xludf.DUMMYFUNCTION("""COMPUTED_VALUE"""),"inactivité 1ère année")</f>
        <v>inactivité 1ère année</v>
      </c>
    </row>
    <row r="43" spans="1:8" ht="12.75">
      <c r="A43" s="46">
        <f ca="1">IFERROR(__xludf.DUMMYFUNCTION("""COMPUTED_VALUE"""),31)</f>
        <v>31</v>
      </c>
      <c r="B43" s="65" t="str">
        <f ca="1">IFERROR(__xludf.DUMMYFUNCTION("""COMPUTED_VALUE"""),"5112250")</f>
        <v>5112250</v>
      </c>
      <c r="C43" s="48" t="str">
        <f ca="1">IFERROR(__xludf.DUMMYFUNCTION("""COMPUTED_VALUE"""),"BERTHELOT")</f>
        <v>BERTHELOT</v>
      </c>
      <c r="D43" s="48" t="str">
        <f ca="1">IFERROR(__xludf.DUMMYFUNCTION("""COMPUTED_VALUE"""),"Maxime")</f>
        <v>Maxime</v>
      </c>
      <c r="E43" s="49" t="str">
        <f ca="1">IFERROR(__xludf.DUMMYFUNCTION("""COMPUTED_VALUE"""),"06510112")</f>
        <v>06510112</v>
      </c>
      <c r="F43" s="48" t="str">
        <f ca="1">IFERROR(__xludf.DUMMYFUNCTION("""COMPUTED_VALUE"""),"CHALONS-EN-CHAMPAGNE TT")</f>
        <v>CHALONS-EN-CHAMPAGNE TT</v>
      </c>
      <c r="G43" s="50" t="str">
        <f ca="1">IFERROR(__xludf.DUMMYFUNCTION("""COMPUTED_VALUE"""),"CD51")</f>
        <v>CD51</v>
      </c>
      <c r="H43" s="50" t="str">
        <f ca="1">IFERROR(__xludf.DUMMYFUNCTION("""COMPUTED_VALUE"""),"inactivité 1ère année")</f>
        <v>inactivité 1ère année</v>
      </c>
    </row>
    <row r="44" spans="1:8" ht="12.75">
      <c r="A44" s="46">
        <f ca="1">IFERROR(__xludf.DUMMYFUNCTION("""COMPUTED_VALUE"""),32)</f>
        <v>32</v>
      </c>
      <c r="B44" s="65" t="str">
        <f ca="1">IFERROR(__xludf.DUMMYFUNCTION("""COMPUTED_VALUE"""),"6810741")</f>
        <v>6810741</v>
      </c>
      <c r="C44" s="48" t="str">
        <f ca="1">IFERROR(__xludf.DUMMYFUNCTION("""COMPUTED_VALUE"""),"BERTHON")</f>
        <v>BERTHON</v>
      </c>
      <c r="D44" s="48" t="str">
        <f ca="1">IFERROR(__xludf.DUMMYFUNCTION("""COMPUTED_VALUE"""),"Sebastien")</f>
        <v>Sebastien</v>
      </c>
      <c r="E44" s="49" t="str">
        <f ca="1">IFERROR(__xludf.DUMMYFUNCTION("""COMPUTED_VALUE"""),"06680105")</f>
        <v>06680105</v>
      </c>
      <c r="F44" s="48" t="str">
        <f ca="1">IFERROR(__xludf.DUMMYFUNCTION("""COMPUTED_VALUE"""),"MULHOUSE TENNIS DE TABLE")</f>
        <v>MULHOUSE TENNIS DE TABLE</v>
      </c>
      <c r="G44" s="50" t="str">
        <f ca="1">IFERROR(__xludf.DUMMYFUNCTION("""COMPUTED_VALUE"""),"CD68")</f>
        <v>CD68</v>
      </c>
      <c r="H44" s="50" t="str">
        <f ca="1">IFERROR(__xludf.DUMMYFUNCTION("""COMPUTED_VALUE"""),"inactivité 1ère année")</f>
        <v>inactivité 1ère année</v>
      </c>
    </row>
    <row r="45" spans="1:8" ht="12.75">
      <c r="A45" s="46">
        <f ca="1">IFERROR(__xludf.DUMMYFUNCTION("""COMPUTED_VALUE"""),33)</f>
        <v>33</v>
      </c>
      <c r="B45" s="65" t="str">
        <f ca="1">IFERROR(__xludf.DUMMYFUNCTION("""COMPUTED_VALUE"""),"6812680")</f>
        <v>6812680</v>
      </c>
      <c r="C45" s="48" t="str">
        <f ca="1">IFERROR(__xludf.DUMMYFUNCTION("""COMPUTED_VALUE"""),"BERTHON")</f>
        <v>BERTHON</v>
      </c>
      <c r="D45" s="48" t="str">
        <f ca="1">IFERROR(__xludf.DUMMYFUNCTION("""COMPUTED_VALUE"""),"Elise")</f>
        <v>Elise</v>
      </c>
      <c r="E45" s="49" t="str">
        <f ca="1">IFERROR(__xludf.DUMMYFUNCTION("""COMPUTED_VALUE"""),"06680105")</f>
        <v>06680105</v>
      </c>
      <c r="F45" s="48" t="str">
        <f ca="1">IFERROR(__xludf.DUMMYFUNCTION("""COMPUTED_VALUE"""),"MULHOUSE TENNIS DE TABLE")</f>
        <v>MULHOUSE TENNIS DE TABLE</v>
      </c>
      <c r="G45" s="50" t="str">
        <f ca="1">IFERROR(__xludf.DUMMYFUNCTION("""COMPUTED_VALUE"""),"CD68")</f>
        <v>CD68</v>
      </c>
      <c r="H45" s="50" t="str">
        <f ca="1">IFERROR(__xludf.DUMMYFUNCTION("""COMPUTED_VALUE"""),"inactivité 1ère année")</f>
        <v>inactivité 1ère année</v>
      </c>
    </row>
    <row r="46" spans="1:8" ht="12.75">
      <c r="A46" s="46">
        <f ca="1">IFERROR(__xludf.DUMMYFUNCTION("""COMPUTED_VALUE"""),34)</f>
        <v>34</v>
      </c>
      <c r="B46" s="65" t="str">
        <f ca="1">IFERROR(__xludf.DUMMYFUNCTION("""COMPUTED_VALUE"""),"67702")</f>
        <v>67702</v>
      </c>
      <c r="C46" s="48" t="str">
        <f ca="1">IFERROR(__xludf.DUMMYFUNCTION("""COMPUTED_VALUE"""),"BERTRAND")</f>
        <v>BERTRAND</v>
      </c>
      <c r="D46" s="48" t="str">
        <f ca="1">IFERROR(__xludf.DUMMYFUNCTION("""COMPUTED_VALUE"""),"Jean-Claude")</f>
        <v>Jean-Claude</v>
      </c>
      <c r="E46" s="49" t="str">
        <f ca="1">IFERROR(__xludf.DUMMYFUNCTION("""COMPUTED_VALUE"""),"06670160")</f>
        <v>06670160</v>
      </c>
      <c r="F46" s="48" t="str">
        <f ca="1">IFERROR(__xludf.DUMMYFUNCTION("""COMPUTED_VALUE"""),"T.T.Haguenau Wissembourg")</f>
        <v>T.T.Haguenau Wissembourg</v>
      </c>
      <c r="G46" s="50" t="str">
        <f ca="1">IFERROR(__xludf.DUMMYFUNCTION("""COMPUTED_VALUE"""),"CD67")</f>
        <v>CD67</v>
      </c>
      <c r="H46" s="50" t="str">
        <f ca="1">IFERROR(__xludf.DUMMYFUNCTION("""COMPUTED_VALUE"""),"actif")</f>
        <v>actif</v>
      </c>
    </row>
    <row r="47" spans="1:8" ht="12.75">
      <c r="A47" s="46">
        <f ca="1">IFERROR(__xludf.DUMMYFUNCTION("""COMPUTED_VALUE"""),35)</f>
        <v>35</v>
      </c>
      <c r="B47" s="65" t="str">
        <f ca="1">IFERROR(__xludf.DUMMYFUNCTION("""COMPUTED_VALUE"""),"687389")</f>
        <v>687389</v>
      </c>
      <c r="C47" s="48" t="str">
        <f ca="1">IFERROR(__xludf.DUMMYFUNCTION("""COMPUTED_VALUE"""),"BERTRAND")</f>
        <v>BERTRAND</v>
      </c>
      <c r="D47" s="48" t="str">
        <f ca="1">IFERROR(__xludf.DUMMYFUNCTION("""COMPUTED_VALUE"""),"Dominique")</f>
        <v>Dominique</v>
      </c>
      <c r="E47" s="49" t="str">
        <f ca="1">IFERROR(__xludf.DUMMYFUNCTION("""COMPUTED_VALUE"""),"06680105")</f>
        <v>06680105</v>
      </c>
      <c r="F47" s="48" t="str">
        <f ca="1">IFERROR(__xludf.DUMMYFUNCTION("""COMPUTED_VALUE"""),"MULHOUSE TENNIS DE TABLE")</f>
        <v>MULHOUSE TENNIS DE TABLE</v>
      </c>
      <c r="G47" s="50" t="str">
        <f ca="1">IFERROR(__xludf.DUMMYFUNCTION("""COMPUTED_VALUE"""),"CD68")</f>
        <v>CD68</v>
      </c>
      <c r="H47" s="50" t="str">
        <f ca="1">IFERROR(__xludf.DUMMYFUNCTION("""COMPUTED_VALUE"""),"inactivité 2ème année")</f>
        <v>inactivité 2ème année</v>
      </c>
    </row>
    <row r="48" spans="1:8" ht="12.75">
      <c r="A48" s="46">
        <f ca="1">IFERROR(__xludf.DUMMYFUNCTION("""COMPUTED_VALUE"""),36)</f>
        <v>36</v>
      </c>
      <c r="B48" s="65" t="str">
        <f ca="1">IFERROR(__xludf.DUMMYFUNCTION("""COMPUTED_VALUE"""),"681232")</f>
        <v>681232</v>
      </c>
      <c r="C48" s="48" t="str">
        <f ca="1">IFERROR(__xludf.DUMMYFUNCTION("""COMPUTED_VALUE"""),"BESNIER")</f>
        <v>BESNIER</v>
      </c>
      <c r="D48" s="48" t="str">
        <f ca="1">IFERROR(__xludf.DUMMYFUNCTION("""COMPUTED_VALUE"""),"Pascal")</f>
        <v>Pascal</v>
      </c>
      <c r="E48" s="49" t="str">
        <f ca="1">IFERROR(__xludf.DUMMYFUNCTION("""COMPUTED_VALUE"""),"06680105")</f>
        <v>06680105</v>
      </c>
      <c r="F48" s="48" t="str">
        <f ca="1">IFERROR(__xludf.DUMMYFUNCTION("""COMPUTED_VALUE"""),"MULHOUSE TENNIS DE TABLE")</f>
        <v>MULHOUSE TENNIS DE TABLE</v>
      </c>
      <c r="G48" s="50" t="str">
        <f ca="1">IFERROR(__xludf.DUMMYFUNCTION("""COMPUTED_VALUE"""),"CD68")</f>
        <v>CD68</v>
      </c>
      <c r="H48" s="50" t="str">
        <f ca="1">IFERROR(__xludf.DUMMYFUNCTION("""COMPUTED_VALUE"""),"inactivité 2ème année")</f>
        <v>inactivité 2ème année</v>
      </c>
    </row>
    <row r="49" spans="1:8" ht="12.75">
      <c r="A49" s="46">
        <f ca="1">IFERROR(__xludf.DUMMYFUNCTION("""COMPUTED_VALUE"""),37)</f>
        <v>37</v>
      </c>
      <c r="B49" s="65" t="str">
        <f ca="1">IFERROR(__xludf.DUMMYFUNCTION("""COMPUTED_VALUE"""),"393968")</f>
        <v>393968</v>
      </c>
      <c r="C49" s="48" t="str">
        <f ca="1">IFERROR(__xludf.DUMMYFUNCTION("""COMPUTED_VALUE"""),"BESSON")</f>
        <v>BESSON</v>
      </c>
      <c r="D49" s="48" t="str">
        <f ca="1">IFERROR(__xludf.DUMMYFUNCTION("""COMPUTED_VALUE"""),"Estelle")</f>
        <v>Estelle</v>
      </c>
      <c r="E49" s="49" t="str">
        <f ca="1">IFERROR(__xludf.DUMMYFUNCTION("""COMPUTED_VALUE"""),"06550058")</f>
        <v>06550058</v>
      </c>
      <c r="F49" s="48" t="str">
        <f ca="1">IFERROR(__xludf.DUMMYFUNCTION("""COMPUTED_VALUE"""),"Les Loups de DAMVILLERS ASTT ")</f>
        <v xml:space="preserve">Les Loups de DAMVILLERS ASTT </v>
      </c>
      <c r="G49" s="50" t="str">
        <f ca="1">IFERROR(__xludf.DUMMYFUNCTION("""COMPUTED_VALUE"""),"CD55")</f>
        <v>CD55</v>
      </c>
      <c r="H49" s="50" t="str">
        <f ca="1">IFERROR(__xludf.DUMMYFUNCTION("""COMPUTED_VALUE"""),"actif")</f>
        <v>actif</v>
      </c>
    </row>
    <row r="50" spans="1:8" ht="12.75">
      <c r="A50" s="46">
        <f ca="1">IFERROR(__xludf.DUMMYFUNCTION("""COMPUTED_VALUE"""),38)</f>
        <v>38</v>
      </c>
      <c r="B50" s="65" t="str">
        <f ca="1">IFERROR(__xludf.DUMMYFUNCTION("""COMPUTED_VALUE"""),"681102")</f>
        <v>681102</v>
      </c>
      <c r="C50" s="48" t="str">
        <f ca="1">IFERROR(__xludf.DUMMYFUNCTION("""COMPUTED_VALUE"""),"BETTINGER")</f>
        <v>BETTINGER</v>
      </c>
      <c r="D50" s="48" t="str">
        <f ca="1">IFERROR(__xludf.DUMMYFUNCTION("""COMPUTED_VALUE"""),"Robert")</f>
        <v>Robert</v>
      </c>
      <c r="E50" s="49" t="str">
        <f ca="1">IFERROR(__xludf.DUMMYFUNCTION("""COMPUTED_VALUE"""),"06680090")</f>
        <v>06680090</v>
      </c>
      <c r="F50" s="48" t="str">
        <f ca="1">IFERROR(__xludf.DUMMYFUNCTION("""COMPUTED_VALUE"""),"INGERSHEIM SSSA")</f>
        <v>INGERSHEIM SSSA</v>
      </c>
      <c r="G50" s="50" t="str">
        <f ca="1">IFERROR(__xludf.DUMMYFUNCTION("""COMPUTED_VALUE"""),"CD68")</f>
        <v>CD68</v>
      </c>
      <c r="H50" s="50" t="str">
        <f ca="1">IFERROR(__xludf.DUMMYFUNCTION("""COMPUTED_VALUE"""),"inactivité 3ème année")</f>
        <v>inactivité 3ème année</v>
      </c>
    </row>
    <row r="51" spans="1:8" ht="12.75">
      <c r="A51" s="46">
        <f ca="1">IFERROR(__xludf.DUMMYFUNCTION("""COMPUTED_VALUE"""),39)</f>
        <v>39</v>
      </c>
      <c r="B51" s="65" t="str">
        <f ca="1">IFERROR(__xludf.DUMMYFUNCTION("""COMPUTED_VALUE"""),"6724624")</f>
        <v>6724624</v>
      </c>
      <c r="C51" s="48" t="str">
        <f ca="1">IFERROR(__xludf.DUMMYFUNCTION("""COMPUTED_VALUE"""),"BEYREUTHER")</f>
        <v>BEYREUTHER</v>
      </c>
      <c r="D51" s="48" t="str">
        <f ca="1">IFERROR(__xludf.DUMMYFUNCTION("""COMPUTED_VALUE"""),"Lea")</f>
        <v>Lea</v>
      </c>
      <c r="E51" s="49" t="str">
        <f ca="1">IFERROR(__xludf.DUMMYFUNCTION("""COMPUTED_VALUE"""),"06670212")</f>
        <v>06670212</v>
      </c>
      <c r="F51" s="48" t="str">
        <f ca="1">IFERROR(__xludf.DUMMYFUNCTION("""COMPUTED_VALUE"""),"LEUTENHEIM C.T.T.")</f>
        <v>LEUTENHEIM C.T.T.</v>
      </c>
      <c r="G51" s="50" t="str">
        <f ca="1">IFERROR(__xludf.DUMMYFUNCTION("""COMPUTED_VALUE"""),"CD67")</f>
        <v>CD67</v>
      </c>
      <c r="H51" s="50" t="str">
        <f ca="1">IFERROR(__xludf.DUMMYFUNCTION("""COMPUTED_VALUE"""),"inactivité 1ère année")</f>
        <v>inactivité 1ère année</v>
      </c>
    </row>
    <row r="52" spans="1:8" ht="12.75">
      <c r="A52" s="46">
        <f ca="1">IFERROR(__xludf.DUMMYFUNCTION("""COMPUTED_VALUE"""),40)</f>
        <v>40</v>
      </c>
      <c r="B52" s="65" t="str">
        <f ca="1">IFERROR(__xludf.DUMMYFUNCTION("""COMPUTED_VALUE"""),"579272")</f>
        <v>579272</v>
      </c>
      <c r="C52" s="48" t="str">
        <f ca="1">IFERROR(__xludf.DUMMYFUNCTION("""COMPUTED_VALUE"""),"BICHLER")</f>
        <v>BICHLER</v>
      </c>
      <c r="D52" s="48" t="str">
        <f ca="1">IFERROR(__xludf.DUMMYFUNCTION("""COMPUTED_VALUE"""),"Christian")</f>
        <v>Christian</v>
      </c>
      <c r="E52" s="49" t="str">
        <f ca="1">IFERROR(__xludf.DUMMYFUNCTION("""COMPUTED_VALUE"""),"06570146")</f>
        <v>06570146</v>
      </c>
      <c r="F52" s="48" t="str">
        <f ca="1">IFERROR(__xludf.DUMMYFUNCTION("""COMPUTED_VALUE"""),"ROHRBACH-LES-BITCHE TT")</f>
        <v>ROHRBACH-LES-BITCHE TT</v>
      </c>
      <c r="G52" s="50" t="str">
        <f ca="1">IFERROR(__xludf.DUMMYFUNCTION("""COMPUTED_VALUE"""),"CD57")</f>
        <v>CD57</v>
      </c>
      <c r="H52" s="50" t="str">
        <f ca="1">IFERROR(__xludf.DUMMYFUNCTION("""COMPUTED_VALUE"""),"inactivité 2ème année")</f>
        <v>inactivité 2ème année</v>
      </c>
    </row>
    <row r="53" spans="1:8" ht="12.75">
      <c r="A53" s="46">
        <f ca="1">IFERROR(__xludf.DUMMYFUNCTION("""COMPUTED_VALUE"""),41)</f>
        <v>41</v>
      </c>
      <c r="B53" s="65" t="str">
        <f ca="1">IFERROR(__xludf.DUMMYFUNCTION("""COMPUTED_VALUE"""),"102524")</f>
        <v>102524</v>
      </c>
      <c r="C53" s="48" t="str">
        <f ca="1">IFERROR(__xludf.DUMMYFUNCTION("""COMPUTED_VALUE"""),"BIGET")</f>
        <v>BIGET</v>
      </c>
      <c r="D53" s="48" t="str">
        <f ca="1">IFERROR(__xludf.DUMMYFUNCTION("""COMPUTED_VALUE"""),"Jeremy")</f>
        <v>Jeremy</v>
      </c>
      <c r="E53" s="49" t="str">
        <f ca="1">IFERROR(__xludf.DUMMYFUNCTION("""COMPUTED_VALUE"""),"06100004")</f>
        <v>06100004</v>
      </c>
      <c r="F53" s="48" t="str">
        <f ca="1">IFERROR(__xludf.DUMMYFUNCTION("""COMPUTED_VALUE"""),"MOUSSEY CS")</f>
        <v>MOUSSEY CS</v>
      </c>
      <c r="G53" s="50" t="str">
        <f ca="1">IFERROR(__xludf.DUMMYFUNCTION("""COMPUTED_VALUE"""),"CD10")</f>
        <v>CD10</v>
      </c>
      <c r="H53" s="50" t="str">
        <f ca="1">IFERROR(__xludf.DUMMYFUNCTION("""COMPUTED_VALUE"""),"inactivité 1ère année")</f>
        <v>inactivité 1ère année</v>
      </c>
    </row>
    <row r="54" spans="1:8" ht="12.75">
      <c r="A54" s="46">
        <f ca="1">IFERROR(__xludf.DUMMYFUNCTION("""COMPUTED_VALUE"""),42)</f>
        <v>42</v>
      </c>
      <c r="B54" s="65" t="str">
        <f ca="1">IFERROR(__xludf.DUMMYFUNCTION("""COMPUTED_VALUE"""),"54278")</f>
        <v>54278</v>
      </c>
      <c r="C54" s="48" t="str">
        <f ca="1">IFERROR(__xludf.DUMMYFUNCTION("""COMPUTED_VALUE"""),"BILLANT")</f>
        <v>BILLANT</v>
      </c>
      <c r="D54" s="48" t="str">
        <f ca="1">IFERROR(__xludf.DUMMYFUNCTION("""COMPUTED_VALUE"""),"Paul")</f>
        <v>Paul</v>
      </c>
      <c r="E54" s="49" t="str">
        <f ca="1">IFERROR(__xludf.DUMMYFUNCTION("""COMPUTED_VALUE"""),"06540016")</f>
        <v>06540016</v>
      </c>
      <c r="F54" s="48" t="str">
        <f ca="1">IFERROR(__xludf.DUMMYFUNCTION("""COMPUTED_VALUE"""),"LAXOU AMICALE L.EMILE ZOLA")</f>
        <v>LAXOU AMICALE L.EMILE ZOLA</v>
      </c>
      <c r="G54" s="50" t="str">
        <f ca="1">IFERROR(__xludf.DUMMYFUNCTION("""COMPUTED_VALUE"""),"CD54")</f>
        <v>CD54</v>
      </c>
      <c r="H54" s="50" t="str">
        <f ca="1">IFERROR(__xludf.DUMMYFUNCTION("""COMPUTED_VALUE"""),"inactivité 3ème année")</f>
        <v>inactivité 3ème année</v>
      </c>
    </row>
    <row r="55" spans="1:8" ht="12.75">
      <c r="A55" s="46">
        <f ca="1">IFERROR(__xludf.DUMMYFUNCTION("""COMPUTED_VALUE"""),43)</f>
        <v>43</v>
      </c>
      <c r="B55" s="65" t="str">
        <f ca="1">IFERROR(__xludf.DUMMYFUNCTION("""COMPUTED_VALUE"""),"5722189")</f>
        <v>5722189</v>
      </c>
      <c r="C55" s="48" t="str">
        <f ca="1">IFERROR(__xludf.DUMMYFUNCTION("""COMPUTED_VALUE"""),"BIZOT")</f>
        <v>BIZOT</v>
      </c>
      <c r="D55" s="48" t="str">
        <f ca="1">IFERROR(__xludf.DUMMYFUNCTION("""COMPUTED_VALUE"""),"Quentin")</f>
        <v>Quentin</v>
      </c>
      <c r="E55" s="49" t="str">
        <f ca="1">IFERROR(__xludf.DUMMYFUNCTION("""COMPUTED_VALUE"""),"06570024")</f>
        <v>06570024</v>
      </c>
      <c r="F55" s="48" t="str">
        <f ca="1">IFERROR(__xludf.DUMMYFUNCTION("""COMPUTED_VALUE"""),"THIONVILLE Tennis de Table")</f>
        <v>THIONVILLE Tennis de Table</v>
      </c>
      <c r="G55" s="50" t="str">
        <f ca="1">IFERROR(__xludf.DUMMYFUNCTION("""COMPUTED_VALUE"""),"CD57")</f>
        <v>CD57</v>
      </c>
      <c r="H55" s="50" t="str">
        <f ca="1">IFERROR(__xludf.DUMMYFUNCTION("""COMPUTED_VALUE"""),"inactivité 2ème année")</f>
        <v>inactivité 2ème année</v>
      </c>
    </row>
    <row r="56" spans="1:8" ht="12.75">
      <c r="A56" s="46">
        <f ca="1">IFERROR(__xludf.DUMMYFUNCTION("""COMPUTED_VALUE"""),44)</f>
        <v>44</v>
      </c>
      <c r="B56" s="65" t="str">
        <f ca="1">IFERROR(__xludf.DUMMYFUNCTION("""COMPUTED_VALUE"""),"5725")</f>
        <v>5725</v>
      </c>
      <c r="C56" s="48" t="str">
        <f ca="1">IFERROR(__xludf.DUMMYFUNCTION("""COMPUTED_VALUE"""),"BLANCHARD")</f>
        <v>BLANCHARD</v>
      </c>
      <c r="D56" s="48" t="str">
        <f ca="1">IFERROR(__xludf.DUMMYFUNCTION("""COMPUTED_VALUE"""),"Pierre")</f>
        <v>Pierre</v>
      </c>
      <c r="E56" s="49" t="str">
        <f ca="1">IFERROR(__xludf.DUMMYFUNCTION("""COMPUTED_VALUE"""),"06570005")</f>
        <v>06570005</v>
      </c>
      <c r="F56" s="48" t="str">
        <f ca="1">IFERROR(__xludf.DUMMYFUNCTION("""COMPUTED_VALUE"""),"FAULQUEMONT E.S.C.")</f>
        <v>FAULQUEMONT E.S.C.</v>
      </c>
      <c r="G56" s="50" t="str">
        <f ca="1">IFERROR(__xludf.DUMMYFUNCTION("""COMPUTED_VALUE"""),"CD57")</f>
        <v>CD57</v>
      </c>
      <c r="H56" s="50" t="str">
        <f ca="1">IFERROR(__xludf.DUMMYFUNCTION("""COMPUTED_VALUE"""),"actif")</f>
        <v>actif</v>
      </c>
    </row>
    <row r="57" spans="1:8" ht="12.75">
      <c r="A57" s="46">
        <f ca="1">IFERROR(__xludf.DUMMYFUNCTION("""COMPUTED_VALUE"""),45)</f>
        <v>45</v>
      </c>
      <c r="B57" s="65" t="str">
        <f ca="1">IFERROR(__xludf.DUMMYFUNCTION("""COMPUTED_VALUE"""),"5433998")</f>
        <v>5433998</v>
      </c>
      <c r="C57" s="48" t="str">
        <f ca="1">IFERROR(__xludf.DUMMYFUNCTION("""COMPUTED_VALUE"""),"BLANCHET")</f>
        <v>BLANCHET</v>
      </c>
      <c r="D57" s="48" t="str">
        <f ca="1">IFERROR(__xludf.DUMMYFUNCTION("""COMPUTED_VALUE"""),"Loic")</f>
        <v>Loic</v>
      </c>
      <c r="E57" s="49" t="str">
        <f ca="1">IFERROR(__xludf.DUMMYFUNCTION("""COMPUTED_VALUE"""),"06540032")</f>
        <v>06540032</v>
      </c>
      <c r="F57" s="48" t="str">
        <f ca="1">IFERROR(__xludf.DUMMYFUNCTION("""COMPUTED_VALUE"""),"NEUVES MAISONS TT")</f>
        <v>NEUVES MAISONS TT</v>
      </c>
      <c r="G57" s="50" t="str">
        <f ca="1">IFERROR(__xludf.DUMMYFUNCTION("""COMPUTED_VALUE"""),"CD54")</f>
        <v>CD54</v>
      </c>
      <c r="H57" s="50" t="str">
        <f ca="1">IFERROR(__xludf.DUMMYFUNCTION("""COMPUTED_VALUE"""),"actif")</f>
        <v>actif</v>
      </c>
    </row>
    <row r="58" spans="1:8" ht="12.75">
      <c r="A58" s="46">
        <f ca="1">IFERROR(__xludf.DUMMYFUNCTION("""COMPUTED_VALUE"""),46)</f>
        <v>46</v>
      </c>
      <c r="B58" s="65" t="str">
        <f ca="1">IFERROR(__xludf.DUMMYFUNCTION("""COMPUTED_VALUE"""),"673078")</f>
        <v>673078</v>
      </c>
      <c r="C58" s="48" t="str">
        <f ca="1">IFERROR(__xludf.DUMMYFUNCTION("""COMPUTED_VALUE"""),"BLANCKAERT")</f>
        <v>BLANCKAERT</v>
      </c>
      <c r="D58" s="48" t="str">
        <f ca="1">IFERROR(__xludf.DUMMYFUNCTION("""COMPUTED_VALUE"""),"Georges")</f>
        <v>Georges</v>
      </c>
      <c r="E58" s="49" t="str">
        <f ca="1">IFERROR(__xludf.DUMMYFUNCTION("""COMPUTED_VALUE"""),"06670183")</f>
        <v>06670183</v>
      </c>
      <c r="F58" s="48" t="str">
        <f ca="1">IFERROR(__xludf.DUMMYFUNCTION("""COMPUTED_VALUE"""),"FCJ BOOTZHEIM")</f>
        <v>FCJ BOOTZHEIM</v>
      </c>
      <c r="G58" s="50" t="str">
        <f ca="1">IFERROR(__xludf.DUMMYFUNCTION("""COMPUTED_VALUE"""),"CD67")</f>
        <v>CD67</v>
      </c>
      <c r="H58" s="50" t="str">
        <f ca="1">IFERROR(__xludf.DUMMYFUNCTION("""COMPUTED_VALUE"""),"actif")</f>
        <v>actif</v>
      </c>
    </row>
    <row r="59" spans="1:8" ht="12.75">
      <c r="A59" s="46">
        <f ca="1">IFERROR(__xludf.DUMMYFUNCTION("""COMPUTED_VALUE"""),47)</f>
        <v>47</v>
      </c>
      <c r="B59" s="65" t="str">
        <f ca="1">IFERROR(__xludf.DUMMYFUNCTION("""COMPUTED_VALUE"""),"5717736")</f>
        <v>5717736</v>
      </c>
      <c r="C59" s="48" t="str">
        <f ca="1">IFERROR(__xludf.DUMMYFUNCTION("""COMPUTED_VALUE"""),"BOBER")</f>
        <v>BOBER</v>
      </c>
      <c r="D59" s="48" t="str">
        <f ca="1">IFERROR(__xludf.DUMMYFUNCTION("""COMPUTED_VALUE"""),"Thierry")</f>
        <v>Thierry</v>
      </c>
      <c r="E59" s="49" t="str">
        <f ca="1">IFERROR(__xludf.DUMMYFUNCTION("""COMPUTED_VALUE"""),"06570093")</f>
        <v>06570093</v>
      </c>
      <c r="F59" s="48" t="str">
        <f ca="1">IFERROR(__xludf.DUMMYFUNCTION("""COMPUTED_VALUE"""),"SCHOENECK T.T.")</f>
        <v>SCHOENECK T.T.</v>
      </c>
      <c r="G59" s="50" t="str">
        <f ca="1">IFERROR(__xludf.DUMMYFUNCTION("""COMPUTED_VALUE"""),"CD57")</f>
        <v>CD57</v>
      </c>
      <c r="H59" s="50" t="str">
        <f ca="1">IFERROR(__xludf.DUMMYFUNCTION("""COMPUTED_VALUE"""),"inactivité 3ème année")</f>
        <v>inactivité 3ème année</v>
      </c>
    </row>
    <row r="60" spans="1:8" ht="12.75">
      <c r="A60" s="46">
        <f ca="1">IFERROR(__xludf.DUMMYFUNCTION("""COMPUTED_VALUE"""),48)</f>
        <v>48</v>
      </c>
      <c r="B60" s="65" t="str">
        <f ca="1">IFERROR(__xludf.DUMMYFUNCTION("""COMPUTED_VALUE"""),"5720470")</f>
        <v>5720470</v>
      </c>
      <c r="C60" s="48" t="str">
        <f ca="1">IFERROR(__xludf.DUMMYFUNCTION("""COMPUTED_VALUE"""),"BOBER")</f>
        <v>BOBER</v>
      </c>
      <c r="D60" s="48" t="str">
        <f ca="1">IFERROR(__xludf.DUMMYFUNCTION("""COMPUTED_VALUE"""),"Samuel")</f>
        <v>Samuel</v>
      </c>
      <c r="E60" s="49" t="str">
        <f ca="1">IFERROR(__xludf.DUMMYFUNCTION("""COMPUTED_VALUE"""),"06570093")</f>
        <v>06570093</v>
      </c>
      <c r="F60" s="48" t="str">
        <f ca="1">IFERROR(__xludf.DUMMYFUNCTION("""COMPUTED_VALUE"""),"SCHOENECK T.T.")</f>
        <v>SCHOENECK T.T.</v>
      </c>
      <c r="G60" s="50" t="str">
        <f ca="1">IFERROR(__xludf.DUMMYFUNCTION("""COMPUTED_VALUE"""),"CD57")</f>
        <v>CD57</v>
      </c>
      <c r="H60" s="50" t="str">
        <f ca="1">IFERROR(__xludf.DUMMYFUNCTION("""COMPUTED_VALUE"""),"actif")</f>
        <v>actif</v>
      </c>
    </row>
    <row r="61" spans="1:8" ht="12.75">
      <c r="A61" s="46">
        <f ca="1">IFERROR(__xludf.DUMMYFUNCTION("""COMPUTED_VALUE"""),49)</f>
        <v>49</v>
      </c>
      <c r="B61" s="65" t="str">
        <f ca="1">IFERROR(__xludf.DUMMYFUNCTION("""COMPUTED_VALUE"""),"6729622")</f>
        <v>6729622</v>
      </c>
      <c r="C61" s="48" t="str">
        <f ca="1">IFERROR(__xludf.DUMMYFUNCTION("""COMPUTED_VALUE"""),"BOEHRINGER")</f>
        <v>BOEHRINGER</v>
      </c>
      <c r="D61" s="48" t="str">
        <f ca="1">IFERROR(__xludf.DUMMYFUNCTION("""COMPUTED_VALUE"""),"Daniel")</f>
        <v>Daniel</v>
      </c>
      <c r="E61" s="49" t="str">
        <f ca="1">IFERROR(__xludf.DUMMYFUNCTION("""COMPUTED_VALUE"""),"06670201")</f>
        <v>06670201</v>
      </c>
      <c r="F61" s="48" t="str">
        <f ca="1">IFERROR(__xludf.DUMMYFUNCTION("""COMPUTED_VALUE"""),"ESCHAU CTT")</f>
        <v>ESCHAU CTT</v>
      </c>
      <c r="G61" s="50" t="str">
        <f ca="1">IFERROR(__xludf.DUMMYFUNCTION("""COMPUTED_VALUE"""),"CD67")</f>
        <v>CD67</v>
      </c>
      <c r="H61" s="50" t="str">
        <f ca="1">IFERROR(__xludf.DUMMYFUNCTION("""COMPUTED_VALUE"""),"inactivité 1ère année")</f>
        <v>inactivité 1ère année</v>
      </c>
    </row>
    <row r="62" spans="1:8" ht="12.75">
      <c r="A62" s="46">
        <f ca="1">IFERROR(__xludf.DUMMYFUNCTION("""COMPUTED_VALUE"""),50)</f>
        <v>50</v>
      </c>
      <c r="B62" s="65" t="str">
        <f ca="1">IFERROR(__xludf.DUMMYFUNCTION("""COMPUTED_VALUE"""),"5732480")</f>
        <v>5732480</v>
      </c>
      <c r="C62" s="48" t="str">
        <f ca="1">IFERROR(__xludf.DUMMYFUNCTION("""COMPUTED_VALUE"""),"BOIME")</f>
        <v>BOIME</v>
      </c>
      <c r="D62" s="48" t="str">
        <f ca="1">IFERROR(__xludf.DUMMYFUNCTION("""COMPUTED_VALUE"""),"Stephane")</f>
        <v>Stephane</v>
      </c>
      <c r="E62" s="49" t="str">
        <f ca="1">IFERROR(__xludf.DUMMYFUNCTION("""COMPUTED_VALUE"""),"06570201")</f>
        <v>06570201</v>
      </c>
      <c r="F62" s="48" t="str">
        <f ca="1">IFERROR(__xludf.DUMMYFUNCTION("""COMPUTED_VALUE"""),"SAINT JULIEN LES METZ TT")</f>
        <v>SAINT JULIEN LES METZ TT</v>
      </c>
      <c r="G62" s="50" t="str">
        <f ca="1">IFERROR(__xludf.DUMMYFUNCTION("""COMPUTED_VALUE"""),"CD57")</f>
        <v>CD57</v>
      </c>
      <c r="H62" s="50" t="str">
        <f ca="1">IFERROR(__xludf.DUMMYFUNCTION("""COMPUTED_VALUE"""),"inactivité 3ème année")</f>
        <v>inactivité 3ème année</v>
      </c>
    </row>
    <row r="63" spans="1:8" ht="12.75">
      <c r="A63" s="46">
        <f ca="1">IFERROR(__xludf.DUMMYFUNCTION("""COMPUTED_VALUE"""),51)</f>
        <v>51</v>
      </c>
      <c r="B63" s="65" t="str">
        <f ca="1">IFERROR(__xludf.DUMMYFUNCTION("""COMPUTED_VALUE"""),"882668")</f>
        <v>882668</v>
      </c>
      <c r="C63" s="48" t="str">
        <f ca="1">IFERROR(__xludf.DUMMYFUNCTION("""COMPUTED_VALUE"""),"BOLMONT")</f>
        <v>BOLMONT</v>
      </c>
      <c r="D63" s="48" t="str">
        <f ca="1">IFERROR(__xludf.DUMMYFUNCTION("""COMPUTED_VALUE"""),"Philippe")</f>
        <v>Philippe</v>
      </c>
      <c r="E63" s="49" t="str">
        <f ca="1">IFERROR(__xludf.DUMMYFUNCTION("""COMPUTED_VALUE"""),"06880021")</f>
        <v>06880021</v>
      </c>
      <c r="F63" s="48" t="str">
        <f ca="1">IFERROR(__xludf.DUMMYFUNCTION("""COMPUTED_VALUE"""),"BAINS LES BAINS AM.PONG.")</f>
        <v>BAINS LES BAINS AM.PONG.</v>
      </c>
      <c r="G63" s="50" t="str">
        <f ca="1">IFERROR(__xludf.DUMMYFUNCTION("""COMPUTED_VALUE"""),"CD88")</f>
        <v>CD88</v>
      </c>
      <c r="H63" s="50" t="str">
        <f ca="1">IFERROR(__xludf.DUMMYFUNCTION("""COMPUTED_VALUE"""),"inactivité 1ère année")</f>
        <v>inactivité 1ère année</v>
      </c>
    </row>
    <row r="64" spans="1:8" ht="12.75">
      <c r="A64" s="46">
        <f ca="1">IFERROR(__xludf.DUMMYFUNCTION("""COMPUTED_VALUE"""),52)</f>
        <v>52</v>
      </c>
      <c r="B64" s="65" t="str">
        <f ca="1">IFERROR(__xludf.DUMMYFUNCTION("""COMPUTED_VALUE"""),"5424523")</f>
        <v>5424523</v>
      </c>
      <c r="C64" s="48" t="str">
        <f ca="1">IFERROR(__xludf.DUMMYFUNCTION("""COMPUTED_VALUE"""),"BONNERAVE")</f>
        <v>BONNERAVE</v>
      </c>
      <c r="D64" s="48" t="str">
        <f ca="1">IFERROR(__xludf.DUMMYFUNCTION("""COMPUTED_VALUE"""),"Christophe")</f>
        <v>Christophe</v>
      </c>
      <c r="E64" s="49" t="str">
        <f ca="1">IFERROR(__xludf.DUMMYFUNCTION("""COMPUTED_VALUE"""),"06540104")</f>
        <v>06540104</v>
      </c>
      <c r="F64" s="48" t="str">
        <f ca="1">IFERROR(__xludf.DUMMYFUNCTION("""COMPUTED_VALUE"""),"AUDUN LE ROMAN ASTT")</f>
        <v>AUDUN LE ROMAN ASTT</v>
      </c>
      <c r="G64" s="50" t="str">
        <f ca="1">IFERROR(__xludf.DUMMYFUNCTION("""COMPUTED_VALUE"""),"CD54")</f>
        <v>CD54</v>
      </c>
      <c r="H64" s="50" t="str">
        <f ca="1">IFERROR(__xludf.DUMMYFUNCTION("""COMPUTED_VALUE"""),"inactivité 2ème année")</f>
        <v>inactivité 2ème année</v>
      </c>
    </row>
    <row r="65" spans="1:8" ht="12.75">
      <c r="A65" s="46">
        <f ca="1">IFERROR(__xludf.DUMMYFUNCTION("""COMPUTED_VALUE"""),53)</f>
        <v>53</v>
      </c>
      <c r="B65" s="65" t="str">
        <f ca="1">IFERROR(__xludf.DUMMYFUNCTION("""COMPUTED_VALUE"""),"677991")</f>
        <v>677991</v>
      </c>
      <c r="C65" s="48" t="str">
        <f ca="1">IFERROR(__xludf.DUMMYFUNCTION("""COMPUTED_VALUE"""),"BOOS")</f>
        <v>BOOS</v>
      </c>
      <c r="D65" s="48" t="str">
        <f ca="1">IFERROR(__xludf.DUMMYFUNCTION("""COMPUTED_VALUE"""),"Didier")</f>
        <v>Didier</v>
      </c>
      <c r="E65" s="49" t="str">
        <f ca="1">IFERROR(__xludf.DUMMYFUNCTION("""COMPUTED_VALUE"""),"06670160")</f>
        <v>06670160</v>
      </c>
      <c r="F65" s="48" t="str">
        <f ca="1">IFERROR(__xludf.DUMMYFUNCTION("""COMPUTED_VALUE"""),"T.T.Haguenau Wissembourg")</f>
        <v>T.T.Haguenau Wissembourg</v>
      </c>
      <c r="G65" s="50" t="str">
        <f ca="1">IFERROR(__xludf.DUMMYFUNCTION("""COMPUTED_VALUE"""),"CD67")</f>
        <v>CD67</v>
      </c>
      <c r="H65" s="50" t="str">
        <f ca="1">IFERROR(__xludf.DUMMYFUNCTION("""COMPUTED_VALUE"""),"actif")</f>
        <v>actif</v>
      </c>
    </row>
    <row r="66" spans="1:8" ht="12.75">
      <c r="A66" s="46">
        <f ca="1">IFERROR(__xludf.DUMMYFUNCTION("""COMPUTED_VALUE"""),54)</f>
        <v>54</v>
      </c>
      <c r="B66" s="65" t="str">
        <f ca="1">IFERROR(__xludf.DUMMYFUNCTION("""COMPUTED_VALUE"""),"689064")</f>
        <v>689064</v>
      </c>
      <c r="C66" s="48" t="str">
        <f ca="1">IFERROR(__xludf.DUMMYFUNCTION("""COMPUTED_VALUE"""),"BORDICHINI")</f>
        <v>BORDICHINI</v>
      </c>
      <c r="D66" s="48" t="str">
        <f ca="1">IFERROR(__xludf.DUMMYFUNCTION("""COMPUTED_VALUE"""),"Italo")</f>
        <v>Italo</v>
      </c>
      <c r="E66" s="49" t="str">
        <f ca="1">IFERROR(__xludf.DUMMYFUNCTION("""COMPUTED_VALUE"""),"06680128")</f>
        <v>06680128</v>
      </c>
      <c r="F66" s="48" t="str">
        <f ca="1">IFERROR(__xludf.DUMMYFUNCTION("""COMPUTED_VALUE"""),"BERGHEIM CSS")</f>
        <v>BERGHEIM CSS</v>
      </c>
      <c r="G66" s="50" t="str">
        <f ca="1">IFERROR(__xludf.DUMMYFUNCTION("""COMPUTED_VALUE"""),"CD68")</f>
        <v>CD68</v>
      </c>
      <c r="H66" s="50" t="str">
        <f ca="1">IFERROR(__xludf.DUMMYFUNCTION("""COMPUTED_VALUE"""),"actif")</f>
        <v>actif</v>
      </c>
    </row>
    <row r="67" spans="1:8" ht="12.75">
      <c r="A67" s="46">
        <f ca="1">IFERROR(__xludf.DUMMYFUNCTION("""COMPUTED_VALUE"""),55)</f>
        <v>55</v>
      </c>
      <c r="B67" s="65" t="str">
        <f ca="1">IFERROR(__xludf.DUMMYFUNCTION("""COMPUTED_VALUE"""),"083243")</f>
        <v>083243</v>
      </c>
      <c r="C67" s="48" t="str">
        <f ca="1">IFERROR(__xludf.DUMMYFUNCTION("""COMPUTED_VALUE"""),"BOUCHET")</f>
        <v>BOUCHET</v>
      </c>
      <c r="D67" s="48" t="str">
        <f ca="1">IFERROR(__xludf.DUMMYFUNCTION("""COMPUTED_VALUE"""),"Jean Jacques")</f>
        <v>Jean Jacques</v>
      </c>
      <c r="E67" s="49" t="str">
        <f ca="1">IFERROR(__xludf.DUMMYFUNCTION("""COMPUTED_VALUE"""),"06080006")</f>
        <v>06080006</v>
      </c>
      <c r="F67" s="48" t="str">
        <f ca="1">IFERROR(__xludf.DUMMYFUNCTION("""COMPUTED_VALUE"""),"BAZEILLES PPC")</f>
        <v>BAZEILLES PPC</v>
      </c>
      <c r="G67" s="50" t="str">
        <f ca="1">IFERROR(__xludf.DUMMYFUNCTION("""COMPUTED_VALUE"""),"CD08")</f>
        <v>CD08</v>
      </c>
      <c r="H67" s="50" t="str">
        <f ca="1">IFERROR(__xludf.DUMMYFUNCTION("""COMPUTED_VALUE"""),"inactivité 3ème année")</f>
        <v>inactivité 3ème année</v>
      </c>
    </row>
    <row r="68" spans="1:8" ht="12.75">
      <c r="A68" s="46">
        <f ca="1">IFERROR(__xludf.DUMMYFUNCTION("""COMPUTED_VALUE"""),56)</f>
        <v>56</v>
      </c>
      <c r="B68" s="65" t="str">
        <f ca="1">IFERROR(__xludf.DUMMYFUNCTION("""COMPUTED_VALUE"""),"5411477")</f>
        <v>5411477</v>
      </c>
      <c r="C68" s="48" t="str">
        <f ca="1">IFERROR(__xludf.DUMMYFUNCTION("""COMPUTED_VALUE"""),"BOULET")</f>
        <v>BOULET</v>
      </c>
      <c r="D68" s="48" t="str">
        <f ca="1">IFERROR(__xludf.DUMMYFUNCTION("""COMPUTED_VALUE"""),"Jean Jacques")</f>
        <v>Jean Jacques</v>
      </c>
      <c r="E68" s="49" t="str">
        <f ca="1">IFERROR(__xludf.DUMMYFUNCTION("""COMPUTED_VALUE"""),"06540040")</f>
        <v>06540040</v>
      </c>
      <c r="F68" s="48" t="str">
        <f ca="1">IFERROR(__xludf.DUMMYFUNCTION("""COMPUTED_VALUE"""),"VILLERS LES NANCY C.O.S.")</f>
        <v>VILLERS LES NANCY C.O.S.</v>
      </c>
      <c r="G68" s="50" t="str">
        <f ca="1">IFERROR(__xludf.DUMMYFUNCTION("""COMPUTED_VALUE"""),"CD54")</f>
        <v>CD54</v>
      </c>
      <c r="H68" s="50" t="str">
        <f ca="1">IFERROR(__xludf.DUMMYFUNCTION("""COMPUTED_VALUE"""),"inactivité 3ème année")</f>
        <v>inactivité 3ème année</v>
      </c>
    </row>
    <row r="69" spans="1:8" ht="12.75">
      <c r="A69" s="46">
        <f ca="1">IFERROR(__xludf.DUMMYFUNCTION("""COMPUTED_VALUE"""),57)</f>
        <v>57</v>
      </c>
      <c r="B69" s="65" t="str">
        <f ca="1">IFERROR(__xludf.DUMMYFUNCTION("""COMPUTED_VALUE"""),"8816662")</f>
        <v>8816662</v>
      </c>
      <c r="C69" s="48" t="str">
        <f ca="1">IFERROR(__xludf.DUMMYFUNCTION("""COMPUTED_VALUE"""),"BOURGEOIS")</f>
        <v>BOURGEOIS</v>
      </c>
      <c r="D69" s="48" t="str">
        <f ca="1">IFERROR(__xludf.DUMMYFUNCTION("""COMPUTED_VALUE"""),"Matteo")</f>
        <v>Matteo</v>
      </c>
      <c r="E69" s="49" t="str">
        <f ca="1">IFERROR(__xludf.DUMMYFUNCTION("""COMPUTED_VALUE"""),"06880002")</f>
        <v>06880002</v>
      </c>
      <c r="F69" s="48" t="str">
        <f ca="1">IFERROR(__xludf.DUMMYFUNCTION("""COMPUTED_VALUE"""),"ANOULD Cercle Pongiste")</f>
        <v>ANOULD Cercle Pongiste</v>
      </c>
      <c r="G69" s="50" t="str">
        <f ca="1">IFERROR(__xludf.DUMMYFUNCTION("""COMPUTED_VALUE"""),"CD88")</f>
        <v>CD88</v>
      </c>
      <c r="H69" s="50" t="str">
        <f ca="1">IFERROR(__xludf.DUMMYFUNCTION("""COMPUTED_VALUE"""),"inactivité 2ème année")</f>
        <v>inactivité 2ème année</v>
      </c>
    </row>
    <row r="70" spans="1:8" ht="12.75">
      <c r="A70" s="46">
        <f ca="1">IFERROR(__xludf.DUMMYFUNCTION("""COMPUTED_VALUE"""),58)</f>
        <v>58</v>
      </c>
      <c r="B70" s="65" t="str">
        <f ca="1">IFERROR(__xludf.DUMMYFUNCTION("""COMPUTED_VALUE"""),"572019")</f>
        <v>572019</v>
      </c>
      <c r="C70" s="48" t="str">
        <f ca="1">IFERROR(__xludf.DUMMYFUNCTION("""COMPUTED_VALUE"""),"BOUSENDORFER")</f>
        <v>BOUSENDORFER</v>
      </c>
      <c r="D70" s="48" t="str">
        <f ca="1">IFERROR(__xludf.DUMMYFUNCTION("""COMPUTED_VALUE"""),"Francois")</f>
        <v>Francois</v>
      </c>
      <c r="E70" s="49" t="str">
        <f ca="1">IFERROR(__xludf.DUMMYFUNCTION("""COMPUTED_VALUE"""),"06570060")</f>
        <v>06570060</v>
      </c>
      <c r="F70" s="48" t="str">
        <f ca="1">IFERROR(__xludf.DUMMYFUNCTION("""COMPUTED_VALUE"""),"MORSBACH Sarre et Moselle ASTT")</f>
        <v>MORSBACH Sarre et Moselle ASTT</v>
      </c>
      <c r="G70" s="50" t="str">
        <f ca="1">IFERROR(__xludf.DUMMYFUNCTION("""COMPUTED_VALUE"""),"CD57")</f>
        <v>CD57</v>
      </c>
      <c r="H70" s="50" t="str">
        <f ca="1">IFERROR(__xludf.DUMMYFUNCTION("""COMPUTED_VALUE"""),"actif")</f>
        <v>actif</v>
      </c>
    </row>
    <row r="71" spans="1:8" ht="12.75">
      <c r="A71" s="46">
        <f ca="1">IFERROR(__xludf.DUMMYFUNCTION("""COMPUTED_VALUE"""),59)</f>
        <v>59</v>
      </c>
      <c r="B71" s="65" t="str">
        <f ca="1">IFERROR(__xludf.DUMMYFUNCTION("""COMPUTED_VALUE"""),"593547")</f>
        <v>593547</v>
      </c>
      <c r="C71" s="48" t="str">
        <f ca="1">IFERROR(__xludf.DUMMYFUNCTION("""COMPUTED_VALUE"""),"BRACQ")</f>
        <v>BRACQ</v>
      </c>
      <c r="D71" s="48" t="str">
        <f ca="1">IFERROR(__xludf.DUMMYFUNCTION("""COMPUTED_VALUE"""),"Thierry")</f>
        <v>Thierry</v>
      </c>
      <c r="E71" s="49" t="str">
        <f ca="1">IFERROR(__xludf.DUMMYFUNCTION("""COMPUTED_VALUE"""),"06880050")</f>
        <v>06880050</v>
      </c>
      <c r="F71" s="48" t="str">
        <f ca="1">IFERROR(__xludf.DUMMYFUNCTION("""COMPUTED_VALUE"""),"VAGNEY A.T.T.")</f>
        <v>VAGNEY A.T.T.</v>
      </c>
      <c r="G71" s="50" t="str">
        <f ca="1">IFERROR(__xludf.DUMMYFUNCTION("""COMPUTED_VALUE"""),"CD88")</f>
        <v>CD88</v>
      </c>
      <c r="H71" s="50" t="str">
        <f ca="1">IFERROR(__xludf.DUMMYFUNCTION("""COMPUTED_VALUE"""),"actif")</f>
        <v>actif</v>
      </c>
    </row>
    <row r="72" spans="1:8" ht="12.75">
      <c r="A72" s="46">
        <f ca="1">IFERROR(__xludf.DUMMYFUNCTION("""COMPUTED_VALUE"""),60)</f>
        <v>60</v>
      </c>
      <c r="B72" s="65" t="str">
        <f ca="1">IFERROR(__xludf.DUMMYFUNCTION("""COMPUTED_VALUE"""),"5433817")</f>
        <v>5433817</v>
      </c>
      <c r="C72" s="48" t="str">
        <f ca="1">IFERROR(__xludf.DUMMYFUNCTION("""COMPUTED_VALUE"""),"BRANDMEYER")</f>
        <v>BRANDMEYER</v>
      </c>
      <c r="D72" s="48" t="str">
        <f ca="1">IFERROR(__xludf.DUMMYFUNCTION("""COMPUTED_VALUE"""),"Linda")</f>
        <v>Linda</v>
      </c>
      <c r="E72" s="49" t="str">
        <f ca="1">IFERROR(__xludf.DUMMYFUNCTION("""COMPUTED_VALUE"""),"06540028")</f>
        <v>06540028</v>
      </c>
      <c r="F72" s="48" t="str">
        <f ca="1">IFERROR(__xludf.DUMMYFUNCTION("""COMPUTED_VALUE"""),"NANCY ASPTT-JARVILLE Jeune")</f>
        <v>NANCY ASPTT-JARVILLE Jeune</v>
      </c>
      <c r="G72" s="50" t="str">
        <f ca="1">IFERROR(__xludf.DUMMYFUNCTION("""COMPUTED_VALUE"""),"CD54")</f>
        <v>CD54</v>
      </c>
      <c r="H72" s="50" t="str">
        <f ca="1">IFERROR(__xludf.DUMMYFUNCTION("""COMPUTED_VALUE"""),"inactivité 2ème année")</f>
        <v>inactivité 2ème année</v>
      </c>
    </row>
    <row r="73" spans="1:8" ht="12.75">
      <c r="A73" s="46">
        <f ca="1">IFERROR(__xludf.DUMMYFUNCTION("""COMPUTED_VALUE"""),61)</f>
        <v>61</v>
      </c>
      <c r="B73" s="65" t="str">
        <f ca="1">IFERROR(__xludf.DUMMYFUNCTION("""COMPUTED_VALUE"""),"544760")</f>
        <v>544760</v>
      </c>
      <c r="C73" s="48" t="str">
        <f ca="1">IFERROR(__xludf.DUMMYFUNCTION("""COMPUTED_VALUE"""),"BRASSEUR")</f>
        <v>BRASSEUR</v>
      </c>
      <c r="D73" s="48" t="str">
        <f ca="1">IFERROR(__xludf.DUMMYFUNCTION("""COMPUTED_VALUE"""),"Cedric")</f>
        <v>Cedric</v>
      </c>
      <c r="E73" s="49" t="str">
        <f ca="1">IFERROR(__xludf.DUMMYFUNCTION("""COMPUTED_VALUE"""),"06540021")</f>
        <v>06540021</v>
      </c>
      <c r="F73" s="48" t="str">
        <f ca="1">IFERROR(__xludf.DUMMYFUNCTION("""COMPUTED_VALUE"""),"LUNEVILLE A.L.T.T.")</f>
        <v>LUNEVILLE A.L.T.T.</v>
      </c>
      <c r="G73" s="50" t="str">
        <f ca="1">IFERROR(__xludf.DUMMYFUNCTION("""COMPUTED_VALUE"""),"CD54")</f>
        <v>CD54</v>
      </c>
      <c r="H73" s="50" t="str">
        <f ca="1">IFERROR(__xludf.DUMMYFUNCTION("""COMPUTED_VALUE"""),"inactivité 3ème année")</f>
        <v>inactivité 3ème année</v>
      </c>
    </row>
    <row r="74" spans="1:8" ht="12.75">
      <c r="A74" s="46">
        <f ca="1">IFERROR(__xludf.DUMMYFUNCTION("""COMPUTED_VALUE"""),62)</f>
        <v>62</v>
      </c>
      <c r="B74" s="65" t="str">
        <f ca="1">IFERROR(__xludf.DUMMYFUNCTION("""COMPUTED_VALUE"""),"6727916")</f>
        <v>6727916</v>
      </c>
      <c r="C74" s="48" t="str">
        <f ca="1">IFERROR(__xludf.DUMMYFUNCTION("""COMPUTED_VALUE"""),"BRECOURT")</f>
        <v>BRECOURT</v>
      </c>
      <c r="D74" s="48" t="str">
        <f ca="1">IFERROR(__xludf.DUMMYFUNCTION("""COMPUTED_VALUE"""),"Ilane")</f>
        <v>Ilane</v>
      </c>
      <c r="E74" s="49" t="str">
        <f ca="1">IFERROR(__xludf.DUMMYFUNCTION("""COMPUTED_VALUE"""),"06670122")</f>
        <v>06670122</v>
      </c>
      <c r="F74" s="48" t="str">
        <f ca="1">IFERROR(__xludf.DUMMYFUNCTION("""COMPUTED_VALUE"""),"OBERNAI CA")</f>
        <v>OBERNAI CA</v>
      </c>
      <c r="G74" s="50" t="str">
        <f ca="1">IFERROR(__xludf.DUMMYFUNCTION("""COMPUTED_VALUE"""),"CD67")</f>
        <v>CD67</v>
      </c>
      <c r="H74" s="50" t="str">
        <f ca="1">IFERROR(__xludf.DUMMYFUNCTION("""COMPUTED_VALUE"""),"actif")</f>
        <v>actif</v>
      </c>
    </row>
    <row r="75" spans="1:8" ht="12.75">
      <c r="A75" s="46">
        <f ca="1">IFERROR(__xludf.DUMMYFUNCTION("""COMPUTED_VALUE"""),63)</f>
        <v>63</v>
      </c>
      <c r="B75" s="65" t="str">
        <f ca="1">IFERROR(__xludf.DUMMYFUNCTION("""COMPUTED_VALUE"""),"88792")</f>
        <v>88792</v>
      </c>
      <c r="C75" s="48" t="str">
        <f ca="1">IFERROR(__xludf.DUMMYFUNCTION("""COMPUTED_VALUE"""),"BREJOT")</f>
        <v>BREJOT</v>
      </c>
      <c r="D75" s="48" t="str">
        <f ca="1">IFERROR(__xludf.DUMMYFUNCTION("""COMPUTED_VALUE"""),"Georges")</f>
        <v>Georges</v>
      </c>
      <c r="E75" s="49" t="str">
        <f ca="1">IFERROR(__xludf.DUMMYFUNCTION("""COMPUTED_VALUE"""),"06880060")</f>
        <v>06880060</v>
      </c>
      <c r="F75" s="48" t="str">
        <f ca="1">IFERROR(__xludf.DUMMYFUNCTION("""COMPUTED_VALUE"""),"LA BRESSE T.T.")</f>
        <v>LA BRESSE T.T.</v>
      </c>
      <c r="G75" s="50" t="str">
        <f ca="1">IFERROR(__xludf.DUMMYFUNCTION("""COMPUTED_VALUE"""),"CD88")</f>
        <v>CD88</v>
      </c>
      <c r="H75" s="50" t="str">
        <f ca="1">IFERROR(__xludf.DUMMYFUNCTION("""COMPUTED_VALUE"""),"inactivité 2ème année")</f>
        <v>inactivité 2ème année</v>
      </c>
    </row>
    <row r="76" spans="1:8" ht="12.75">
      <c r="A76" s="46">
        <f ca="1">IFERROR(__xludf.DUMMYFUNCTION("""COMPUTED_VALUE"""),64)</f>
        <v>64</v>
      </c>
      <c r="B76" s="65" t="str">
        <f ca="1">IFERROR(__xludf.DUMMYFUNCTION("""COMPUTED_VALUE"""),"679376")</f>
        <v>679376</v>
      </c>
      <c r="C76" s="48" t="str">
        <f ca="1">IFERROR(__xludf.DUMMYFUNCTION("""COMPUTED_VALUE"""),"BRES")</f>
        <v>BRES</v>
      </c>
      <c r="D76" s="48" t="str">
        <f ca="1">IFERROR(__xludf.DUMMYFUNCTION("""COMPUTED_VALUE"""),"Sandrine")</f>
        <v>Sandrine</v>
      </c>
      <c r="E76" s="49" t="str">
        <f ca="1">IFERROR(__xludf.DUMMYFUNCTION("""COMPUTED_VALUE"""),"06670272")</f>
        <v>06670272</v>
      </c>
      <c r="F76" s="48" t="str">
        <f ca="1">IFERROR(__xludf.DUMMYFUNCTION("""COMPUTED_VALUE"""),"SCHILTIGHEIM Tennis de Table")</f>
        <v>SCHILTIGHEIM Tennis de Table</v>
      </c>
      <c r="G76" s="50" t="str">
        <f ca="1">IFERROR(__xludf.DUMMYFUNCTION("""COMPUTED_VALUE"""),"CD67")</f>
        <v>CD67</v>
      </c>
      <c r="H76" s="50" t="str">
        <f ca="1">IFERROR(__xludf.DUMMYFUNCTION("""COMPUTED_VALUE"""),"actif")</f>
        <v>actif</v>
      </c>
    </row>
    <row r="77" spans="1:8" ht="12.75">
      <c r="A77" s="46">
        <f ca="1">IFERROR(__xludf.DUMMYFUNCTION("""COMPUTED_VALUE"""),65)</f>
        <v>65</v>
      </c>
      <c r="B77" s="65" t="str">
        <f ca="1">IFERROR(__xludf.DUMMYFUNCTION("""COMPUTED_VALUE"""),"5113219")</f>
        <v>5113219</v>
      </c>
      <c r="C77" s="48" t="str">
        <f ca="1">IFERROR(__xludf.DUMMYFUNCTION("""COMPUTED_VALUE"""),"BRETON")</f>
        <v>BRETON</v>
      </c>
      <c r="D77" s="48" t="str">
        <f ca="1">IFERROR(__xludf.DUMMYFUNCTION("""COMPUTED_VALUE"""),"Emmanuel")</f>
        <v>Emmanuel</v>
      </c>
      <c r="E77" s="49" t="str">
        <f ca="1">IFERROR(__xludf.DUMMYFUNCTION("""COMPUTED_VALUE"""),"06510018")</f>
        <v>06510018</v>
      </c>
      <c r="F77" s="48" t="str">
        <f ca="1">IFERROR(__xludf.DUMMYFUNCTION("""COMPUTED_VALUE"""),"REIMS ASPTT")</f>
        <v>REIMS ASPTT</v>
      </c>
      <c r="G77" s="50" t="str">
        <f ca="1">IFERROR(__xludf.DUMMYFUNCTION("""COMPUTED_VALUE"""),"CD51")</f>
        <v>CD51</v>
      </c>
      <c r="H77" s="50" t="str">
        <f ca="1">IFERROR(__xludf.DUMMYFUNCTION("""COMPUTED_VALUE"""),"inactivité 1ère année")</f>
        <v>inactivité 1ère année</v>
      </c>
    </row>
    <row r="78" spans="1:8" ht="12.75">
      <c r="A78" s="46">
        <f ca="1">IFERROR(__xludf.DUMMYFUNCTION("""COMPUTED_VALUE"""),66)</f>
        <v>66</v>
      </c>
      <c r="B78" s="65" t="str">
        <f ca="1">IFERROR(__xludf.DUMMYFUNCTION("""COMPUTED_VALUE"""),"5722018")</f>
        <v>5722018</v>
      </c>
      <c r="C78" s="48" t="str">
        <f ca="1">IFERROR(__xludf.DUMMYFUNCTION("""COMPUTED_VALUE"""),"BREVETTI")</f>
        <v>BREVETTI</v>
      </c>
      <c r="D78" s="48" t="str">
        <f ca="1">IFERROR(__xludf.DUMMYFUNCTION("""COMPUTED_VALUE"""),"Francesco")</f>
        <v>Francesco</v>
      </c>
      <c r="E78" s="49" t="str">
        <f ca="1">IFERROR(__xludf.DUMMYFUNCTION("""COMPUTED_VALUE"""),"06570005")</f>
        <v>06570005</v>
      </c>
      <c r="F78" s="48" t="str">
        <f ca="1">IFERROR(__xludf.DUMMYFUNCTION("""COMPUTED_VALUE"""),"FAULQUEMONT E.S.C.")</f>
        <v>FAULQUEMONT E.S.C.</v>
      </c>
      <c r="G78" s="50" t="str">
        <f ca="1">IFERROR(__xludf.DUMMYFUNCTION("""COMPUTED_VALUE"""),"CD57")</f>
        <v>CD57</v>
      </c>
      <c r="H78" s="50" t="str">
        <f ca="1">IFERROR(__xludf.DUMMYFUNCTION("""COMPUTED_VALUE"""),"inactivité 1ère année")</f>
        <v>inactivité 1ère année</v>
      </c>
    </row>
    <row r="79" spans="1:8" ht="12.75">
      <c r="A79" s="46">
        <f ca="1">IFERROR(__xludf.DUMMYFUNCTION("""COMPUTED_VALUE"""),67)</f>
        <v>67</v>
      </c>
      <c r="B79" s="65" t="str">
        <f ca="1">IFERROR(__xludf.DUMMYFUNCTION("""COMPUTED_VALUE"""),"5729982")</f>
        <v>5729982</v>
      </c>
      <c r="C79" s="48" t="str">
        <f ca="1">IFERROR(__xludf.DUMMYFUNCTION("""COMPUTED_VALUE"""),"BRIGNON")</f>
        <v>BRIGNON</v>
      </c>
      <c r="D79" s="48" t="str">
        <f ca="1">IFERROR(__xludf.DUMMYFUNCTION("""COMPUTED_VALUE"""),"Hubert")</f>
        <v>Hubert</v>
      </c>
      <c r="E79" s="49" t="str">
        <f ca="1">IFERROR(__xludf.DUMMYFUNCTION("""COMPUTED_VALUE"""),"06570073")</f>
        <v>06570073</v>
      </c>
      <c r="F79" s="48" t="str">
        <f ca="1">IFERROR(__xludf.DUMMYFUNCTION("""COMPUTED_VALUE"""),"TERVILLE Tennis de Table")</f>
        <v>TERVILLE Tennis de Table</v>
      </c>
      <c r="G79" s="50" t="str">
        <f ca="1">IFERROR(__xludf.DUMMYFUNCTION("""COMPUTED_VALUE"""),"CD57")</f>
        <v>CD57</v>
      </c>
      <c r="H79" s="50" t="str">
        <f ca="1">IFERROR(__xludf.DUMMYFUNCTION("""COMPUTED_VALUE"""),"inactivité 2ème année")</f>
        <v>inactivité 2ème année</v>
      </c>
    </row>
    <row r="80" spans="1:8" ht="12.75">
      <c r="A80" s="46">
        <f ca="1">IFERROR(__xludf.DUMMYFUNCTION("""COMPUTED_VALUE"""),68)</f>
        <v>68</v>
      </c>
      <c r="B80" s="65" t="str">
        <f ca="1">IFERROR(__xludf.DUMMYFUNCTION("""COMPUTED_VALUE"""),"8813479")</f>
        <v>8813479</v>
      </c>
      <c r="C80" s="48" t="str">
        <f ca="1">IFERROR(__xludf.DUMMYFUNCTION("""COMPUTED_VALUE"""),"BRIOT")</f>
        <v>BRIOT</v>
      </c>
      <c r="D80" s="48" t="str">
        <f ca="1">IFERROR(__xludf.DUMMYFUNCTION("""COMPUTED_VALUE"""),"Nadine")</f>
        <v>Nadine</v>
      </c>
      <c r="E80" s="49" t="str">
        <f ca="1">IFERROR(__xludf.DUMMYFUNCTION("""COMPUTED_VALUE"""),"06880086")</f>
        <v>06880086</v>
      </c>
      <c r="F80" s="48" t="str">
        <f ca="1">IFERROR(__xludf.DUMMYFUNCTION("""COMPUTED_VALUE"""),"MOYENMOUTIER VRTT")</f>
        <v>MOYENMOUTIER VRTT</v>
      </c>
      <c r="G80" s="50" t="str">
        <f ca="1">IFERROR(__xludf.DUMMYFUNCTION("""COMPUTED_VALUE"""),"CD88")</f>
        <v>CD88</v>
      </c>
      <c r="H80" s="50" t="str">
        <f ca="1">IFERROR(__xludf.DUMMYFUNCTION("""COMPUTED_VALUE"""),"inactivité 3ème année")</f>
        <v>inactivité 3ème année</v>
      </c>
    </row>
    <row r="81" spans="1:8" ht="12.75">
      <c r="A81" s="46">
        <f ca="1">IFERROR(__xludf.DUMMYFUNCTION("""COMPUTED_VALUE"""),69)</f>
        <v>69</v>
      </c>
      <c r="B81" s="65" t="str">
        <f ca="1">IFERROR(__xludf.DUMMYFUNCTION("""COMPUTED_VALUE"""),"6712764")</f>
        <v>6712764</v>
      </c>
      <c r="C81" s="48" t="str">
        <f ca="1">IFERROR(__xludf.DUMMYFUNCTION("""COMPUTED_VALUE"""),"BRUCKER")</f>
        <v>BRUCKER</v>
      </c>
      <c r="D81" s="48" t="str">
        <f ca="1">IFERROR(__xludf.DUMMYFUNCTION("""COMPUTED_VALUE"""),"Jacky")</f>
        <v>Jacky</v>
      </c>
      <c r="E81" s="49" t="str">
        <f ca="1">IFERROR(__xludf.DUMMYFUNCTION("""COMPUTED_VALUE"""),"06670122")</f>
        <v>06670122</v>
      </c>
      <c r="F81" s="48" t="str">
        <f ca="1">IFERROR(__xludf.DUMMYFUNCTION("""COMPUTED_VALUE"""),"OBERNAI CA")</f>
        <v>OBERNAI CA</v>
      </c>
      <c r="G81" s="50" t="str">
        <f ca="1">IFERROR(__xludf.DUMMYFUNCTION("""COMPUTED_VALUE"""),"CD67")</f>
        <v>CD67</v>
      </c>
      <c r="H81" s="50" t="str">
        <f ca="1">IFERROR(__xludf.DUMMYFUNCTION("""COMPUTED_VALUE"""),"actif")</f>
        <v>actif</v>
      </c>
    </row>
    <row r="82" spans="1:8" ht="12.75">
      <c r="A82" s="46">
        <f ca="1">IFERROR(__xludf.DUMMYFUNCTION("""COMPUTED_VALUE"""),70)</f>
        <v>70</v>
      </c>
      <c r="B82" s="65" t="str">
        <f ca="1">IFERROR(__xludf.DUMMYFUNCTION("""COMPUTED_VALUE"""),"5410886")</f>
        <v>5410886</v>
      </c>
      <c r="C82" s="48" t="str">
        <f ca="1">IFERROR(__xludf.DUMMYFUNCTION("""COMPUTED_VALUE"""),"BURE")</f>
        <v>BURE</v>
      </c>
      <c r="D82" s="48" t="str">
        <f ca="1">IFERROR(__xludf.DUMMYFUNCTION("""COMPUTED_VALUE"""),"Sebastien")</f>
        <v>Sebastien</v>
      </c>
      <c r="E82" s="49" t="str">
        <f ca="1">IFERROR(__xludf.DUMMYFUNCTION("""COMPUTED_VALUE"""),"06540088")</f>
        <v>06540088</v>
      </c>
      <c r="F82" s="48" t="str">
        <f ca="1">IFERROR(__xludf.DUMMYFUNCTION("""COMPUTED_VALUE"""),"CHANTEHEUX TT")</f>
        <v>CHANTEHEUX TT</v>
      </c>
      <c r="G82" s="50" t="str">
        <f ca="1">IFERROR(__xludf.DUMMYFUNCTION("""COMPUTED_VALUE"""),"CD54")</f>
        <v>CD54</v>
      </c>
      <c r="H82" s="50" t="str">
        <f ca="1">IFERROR(__xludf.DUMMYFUNCTION("""COMPUTED_VALUE"""),"actif")</f>
        <v>actif</v>
      </c>
    </row>
    <row r="83" spans="1:8" ht="12.75">
      <c r="A83" s="46">
        <f ca="1">IFERROR(__xludf.DUMMYFUNCTION("""COMPUTED_VALUE"""),71)</f>
        <v>71</v>
      </c>
      <c r="B83" s="65" t="str">
        <f ca="1">IFERROR(__xludf.DUMMYFUNCTION("""COMPUTED_VALUE"""),"6725578")</f>
        <v>6725578</v>
      </c>
      <c r="C83" s="48" t="str">
        <f ca="1">IFERROR(__xludf.DUMMYFUNCTION("""COMPUTED_VALUE"""),"BURRUS")</f>
        <v>BURRUS</v>
      </c>
      <c r="D83" s="48" t="str">
        <f ca="1">IFERROR(__xludf.DUMMYFUNCTION("""COMPUTED_VALUE"""),"Olivier")</f>
        <v>Olivier</v>
      </c>
      <c r="E83" s="49" t="str">
        <f ca="1">IFERROR(__xludf.DUMMYFUNCTION("""COMPUTED_VALUE"""),"06670272")</f>
        <v>06670272</v>
      </c>
      <c r="F83" s="48" t="str">
        <f ca="1">IFERROR(__xludf.DUMMYFUNCTION("""COMPUTED_VALUE"""),"SCHILTIGHEIM Tennis de Table")</f>
        <v>SCHILTIGHEIM Tennis de Table</v>
      </c>
      <c r="G83" s="50" t="str">
        <f ca="1">IFERROR(__xludf.DUMMYFUNCTION("""COMPUTED_VALUE"""),"CD67")</f>
        <v>CD67</v>
      </c>
      <c r="H83" s="50" t="str">
        <f ca="1">IFERROR(__xludf.DUMMYFUNCTION("""COMPUTED_VALUE"""),"inactivité 2ème année")</f>
        <v>inactivité 2ème année</v>
      </c>
    </row>
    <row r="84" spans="1:8" ht="12.75">
      <c r="A84" s="46">
        <f ca="1">IFERROR(__xludf.DUMMYFUNCTION("""COMPUTED_VALUE"""),72)</f>
        <v>72</v>
      </c>
      <c r="B84" s="65" t="str">
        <f ca="1">IFERROR(__xludf.DUMMYFUNCTION("""COMPUTED_VALUE"""),"5719641")</f>
        <v>5719641</v>
      </c>
      <c r="C84" s="48" t="str">
        <f ca="1">IFERROR(__xludf.DUMMYFUNCTION("""COMPUTED_VALUE"""),"BUZEAU")</f>
        <v>BUZEAU</v>
      </c>
      <c r="D84" s="48" t="str">
        <f ca="1">IFERROR(__xludf.DUMMYFUNCTION("""COMPUTED_VALUE"""),"Dylan")</f>
        <v>Dylan</v>
      </c>
      <c r="E84" s="49" t="str">
        <f ca="1">IFERROR(__xludf.DUMMYFUNCTION("""COMPUTED_VALUE"""),"06570073")</f>
        <v>06570073</v>
      </c>
      <c r="F84" s="48" t="str">
        <f ca="1">IFERROR(__xludf.DUMMYFUNCTION("""COMPUTED_VALUE"""),"TERVILLE Tennis de Table")</f>
        <v>TERVILLE Tennis de Table</v>
      </c>
      <c r="G84" s="50" t="str">
        <f ca="1">IFERROR(__xludf.DUMMYFUNCTION("""COMPUTED_VALUE"""),"CD57")</f>
        <v>CD57</v>
      </c>
      <c r="H84" s="50" t="str">
        <f ca="1">IFERROR(__xludf.DUMMYFUNCTION("""COMPUTED_VALUE"""),"actif")</f>
        <v>actif</v>
      </c>
    </row>
    <row r="85" spans="1:8" ht="12.75">
      <c r="A85" s="46">
        <f ca="1">IFERROR(__xludf.DUMMYFUNCTION("""COMPUTED_VALUE"""),73)</f>
        <v>73</v>
      </c>
      <c r="B85" s="65" t="str">
        <f ca="1">IFERROR(__xludf.DUMMYFUNCTION("""COMPUTED_VALUE"""),"5715239")</f>
        <v>5715239</v>
      </c>
      <c r="C85" s="48" t="str">
        <f ca="1">IFERROR(__xludf.DUMMYFUNCTION("""COMPUTED_VALUE"""),"BUZEAU")</f>
        <v>BUZEAU</v>
      </c>
      <c r="D85" s="48" t="str">
        <f ca="1">IFERROR(__xludf.DUMMYFUNCTION("""COMPUTED_VALUE"""),"Violaine")</f>
        <v>Violaine</v>
      </c>
      <c r="E85" s="49" t="str">
        <f ca="1">IFERROR(__xludf.DUMMYFUNCTION("""COMPUTED_VALUE"""),"06570073")</f>
        <v>06570073</v>
      </c>
      <c r="F85" s="48" t="str">
        <f ca="1">IFERROR(__xludf.DUMMYFUNCTION("""COMPUTED_VALUE"""),"TERVILLE Tennis de Table")</f>
        <v>TERVILLE Tennis de Table</v>
      </c>
      <c r="G85" s="50" t="str">
        <f ca="1">IFERROR(__xludf.DUMMYFUNCTION("""COMPUTED_VALUE"""),"CD57")</f>
        <v>CD57</v>
      </c>
      <c r="H85" s="50" t="str">
        <f ca="1">IFERROR(__xludf.DUMMYFUNCTION("""COMPUTED_VALUE"""),"actif")</f>
        <v>actif</v>
      </c>
    </row>
    <row r="86" spans="1:8" ht="12.75">
      <c r="A86" s="46">
        <f ca="1">IFERROR(__xludf.DUMMYFUNCTION("""COMPUTED_VALUE"""),74)</f>
        <v>74</v>
      </c>
      <c r="B86" s="65" t="str">
        <f ca="1">IFERROR(__xludf.DUMMYFUNCTION("""COMPUTED_VALUE"""),"8811182")</f>
        <v>8811182</v>
      </c>
      <c r="C86" s="48" t="str">
        <f ca="1">IFERROR(__xludf.DUMMYFUNCTION("""COMPUTED_VALUE"""),"CACHET")</f>
        <v>CACHET</v>
      </c>
      <c r="D86" s="48" t="str">
        <f ca="1">IFERROR(__xludf.DUMMYFUNCTION("""COMPUTED_VALUE"""),"Stephane")</f>
        <v>Stephane</v>
      </c>
      <c r="E86" s="49" t="str">
        <f ca="1">IFERROR(__xludf.DUMMYFUNCTION("""COMPUTED_VALUE"""),"06880022")</f>
        <v>06880022</v>
      </c>
      <c r="F86" s="48" t="str">
        <f ca="1">IFERROR(__xludf.DUMMYFUNCTION("""COMPUTED_VALUE"""),"VITTEL SAINT REMY TT")</f>
        <v>VITTEL SAINT REMY TT</v>
      </c>
      <c r="G86" s="50" t="str">
        <f ca="1">IFERROR(__xludf.DUMMYFUNCTION("""COMPUTED_VALUE"""),"CD88")</f>
        <v>CD88</v>
      </c>
      <c r="H86" s="50" t="str">
        <f ca="1">IFERROR(__xludf.DUMMYFUNCTION("""COMPUTED_VALUE"""),"inactivité 3ème année")</f>
        <v>inactivité 3ème année</v>
      </c>
    </row>
    <row r="87" spans="1:8" ht="12.75">
      <c r="A87" s="46">
        <f ca="1">IFERROR(__xludf.DUMMYFUNCTION("""COMPUTED_VALUE"""),75)</f>
        <v>75</v>
      </c>
      <c r="B87" s="65" t="str">
        <f ca="1">IFERROR(__xludf.DUMMYFUNCTION("""COMPUTED_VALUE"""),"5737902")</f>
        <v>5737902</v>
      </c>
      <c r="C87" s="48" t="str">
        <f ca="1">IFERROR(__xludf.DUMMYFUNCTION("""COMPUTED_VALUE"""),"CARLETTI")</f>
        <v>CARLETTI</v>
      </c>
      <c r="D87" s="48" t="str">
        <f ca="1">IFERROR(__xludf.DUMMYFUNCTION("""COMPUTED_VALUE"""),"Maud")</f>
        <v>Maud</v>
      </c>
      <c r="E87" s="49" t="str">
        <f ca="1">IFERROR(__xludf.DUMMYFUNCTION("""COMPUTED_VALUE"""),"06570073")</f>
        <v>06570073</v>
      </c>
      <c r="F87" s="48" t="str">
        <f ca="1">IFERROR(__xludf.DUMMYFUNCTION("""COMPUTED_VALUE"""),"TERVILLE Tennis de Table")</f>
        <v>TERVILLE Tennis de Table</v>
      </c>
      <c r="G87" s="50" t="str">
        <f ca="1">IFERROR(__xludf.DUMMYFUNCTION("""COMPUTED_VALUE"""),"CD57")</f>
        <v>CD57</v>
      </c>
      <c r="H87" s="50" t="str">
        <f ca="1">IFERROR(__xludf.DUMMYFUNCTION("""COMPUTED_VALUE"""),"actif")</f>
        <v>actif</v>
      </c>
    </row>
    <row r="88" spans="1:8" ht="12.75">
      <c r="A88" s="46">
        <f ca="1">IFERROR(__xludf.DUMMYFUNCTION("""COMPUTED_VALUE"""),76)</f>
        <v>76</v>
      </c>
      <c r="B88" s="65" t="str">
        <f ca="1">IFERROR(__xludf.DUMMYFUNCTION("""COMPUTED_VALUE"""),"523340")</f>
        <v>523340</v>
      </c>
      <c r="C88" s="48" t="str">
        <f ca="1">IFERROR(__xludf.DUMMYFUNCTION("""COMPUTED_VALUE"""),"CARLOT")</f>
        <v>CARLOT</v>
      </c>
      <c r="D88" s="48" t="str">
        <f ca="1">IFERROR(__xludf.DUMMYFUNCTION("""COMPUTED_VALUE"""),"Matthieu")</f>
        <v>Matthieu</v>
      </c>
      <c r="E88" s="49" t="str">
        <f ca="1">IFERROR(__xludf.DUMMYFUNCTION("""COMPUTED_VALUE"""),"06520003")</f>
        <v>06520003</v>
      </c>
      <c r="F88" s="48" t="str">
        <f ca="1">IFERROR(__xludf.DUMMYFUNCTION("""COMPUTED_VALUE"""),"EURVILLE BIENVILLE Jeunes")</f>
        <v>EURVILLE BIENVILLE Jeunes</v>
      </c>
      <c r="G88" s="50" t="str">
        <f ca="1">IFERROR(__xludf.DUMMYFUNCTION("""COMPUTED_VALUE"""),"CD52")</f>
        <v>CD52</v>
      </c>
      <c r="H88" s="50" t="str">
        <f ca="1">IFERROR(__xludf.DUMMYFUNCTION("""COMPUTED_VALUE"""),"inactivité 3ème année")</f>
        <v>inactivité 3ème année</v>
      </c>
    </row>
    <row r="89" spans="1:8" ht="12.75">
      <c r="A89" s="46">
        <f ca="1">IFERROR(__xludf.DUMMYFUNCTION("""COMPUTED_VALUE"""),77)</f>
        <v>77</v>
      </c>
      <c r="B89" s="65" t="str">
        <f ca="1">IFERROR(__xludf.DUMMYFUNCTION("""COMPUTED_VALUE"""),"5111984")</f>
        <v>5111984</v>
      </c>
      <c r="C89" s="48" t="str">
        <f ca="1">IFERROR(__xludf.DUMMYFUNCTION("""COMPUTED_VALUE"""),"CARRE")</f>
        <v>CARRE</v>
      </c>
      <c r="D89" s="48" t="str">
        <f ca="1">IFERROR(__xludf.DUMMYFUNCTION("""COMPUTED_VALUE"""),"Christophe")</f>
        <v>Christophe</v>
      </c>
      <c r="E89" s="49" t="str">
        <f ca="1">IFERROR(__xludf.DUMMYFUNCTION("""COMPUTED_VALUE"""),"06510018")</f>
        <v>06510018</v>
      </c>
      <c r="F89" s="48" t="str">
        <f ca="1">IFERROR(__xludf.DUMMYFUNCTION("""COMPUTED_VALUE"""),"REIMS ASPTT")</f>
        <v>REIMS ASPTT</v>
      </c>
      <c r="G89" s="50" t="str">
        <f ca="1">IFERROR(__xludf.DUMMYFUNCTION("""COMPUTED_VALUE"""),"CD51")</f>
        <v>CD51</v>
      </c>
      <c r="H89" s="50" t="str">
        <f ca="1">IFERROR(__xludf.DUMMYFUNCTION("""COMPUTED_VALUE"""),"inactivité 1ère année")</f>
        <v>inactivité 1ère année</v>
      </c>
    </row>
    <row r="90" spans="1:8" ht="12.75">
      <c r="A90" s="46">
        <f ca="1">IFERROR(__xludf.DUMMYFUNCTION("""COMPUTED_VALUE"""),78)</f>
        <v>78</v>
      </c>
      <c r="B90" s="65" t="str">
        <f ca="1">IFERROR(__xludf.DUMMYFUNCTION("""COMPUTED_VALUE"""),"5713627")</f>
        <v>5713627</v>
      </c>
      <c r="C90" s="48" t="str">
        <f ca="1">IFERROR(__xludf.DUMMYFUNCTION("""COMPUTED_VALUE"""),"CARRIERE")</f>
        <v>CARRIERE</v>
      </c>
      <c r="D90" s="48" t="str">
        <f ca="1">IFERROR(__xludf.DUMMYFUNCTION("""COMPUTED_VALUE"""),"Thierry")</f>
        <v>Thierry</v>
      </c>
      <c r="E90" s="49" t="str">
        <f ca="1">IFERROR(__xludf.DUMMYFUNCTION("""COMPUTED_VALUE"""),"06570018")</f>
        <v>06570018</v>
      </c>
      <c r="F90" s="48" t="str">
        <f ca="1">IFERROR(__xludf.DUMMYFUNCTION("""COMPUTED_VALUE"""),"OBERGAILBACH U.P.")</f>
        <v>OBERGAILBACH U.P.</v>
      </c>
      <c r="G90" s="50" t="str">
        <f ca="1">IFERROR(__xludf.DUMMYFUNCTION("""COMPUTED_VALUE"""),"CD57")</f>
        <v>CD57</v>
      </c>
      <c r="H90" s="50" t="str">
        <f ca="1">IFERROR(__xludf.DUMMYFUNCTION("""COMPUTED_VALUE"""),"inactivité 1ère année")</f>
        <v>inactivité 1ère année</v>
      </c>
    </row>
    <row r="91" spans="1:8" ht="12.75">
      <c r="A91" s="46">
        <f ca="1">IFERROR(__xludf.DUMMYFUNCTION("""COMPUTED_VALUE"""),79)</f>
        <v>79</v>
      </c>
      <c r="B91" s="65" t="str">
        <f ca="1">IFERROR(__xludf.DUMMYFUNCTION("""COMPUTED_VALUE"""),"5723805")</f>
        <v>5723805</v>
      </c>
      <c r="C91" s="48" t="str">
        <f ca="1">IFERROR(__xludf.DUMMYFUNCTION("""COMPUTED_VALUE"""),"CARRIERE")</f>
        <v>CARRIERE</v>
      </c>
      <c r="D91" s="48" t="str">
        <f ca="1">IFERROR(__xludf.DUMMYFUNCTION("""COMPUTED_VALUE"""),"Amandine")</f>
        <v>Amandine</v>
      </c>
      <c r="E91" s="49" t="str">
        <f ca="1">IFERROR(__xludf.DUMMYFUNCTION("""COMPUTED_VALUE"""),"06570018")</f>
        <v>06570018</v>
      </c>
      <c r="F91" s="48" t="str">
        <f ca="1">IFERROR(__xludf.DUMMYFUNCTION("""COMPUTED_VALUE"""),"OBERGAILBACH U.P.")</f>
        <v>OBERGAILBACH U.P.</v>
      </c>
      <c r="G91" s="50" t="str">
        <f ca="1">IFERROR(__xludf.DUMMYFUNCTION("""COMPUTED_VALUE"""),"CD57")</f>
        <v>CD57</v>
      </c>
      <c r="H91" s="50" t="str">
        <f ca="1">IFERROR(__xludf.DUMMYFUNCTION("""COMPUTED_VALUE"""),"actif")</f>
        <v>actif</v>
      </c>
    </row>
    <row r="92" spans="1:8" ht="12.75">
      <c r="A92" s="46">
        <f ca="1">IFERROR(__xludf.DUMMYFUNCTION("""COMPUTED_VALUE"""),80)</f>
        <v>80</v>
      </c>
      <c r="B92" s="65" t="str">
        <f ca="1">IFERROR(__xludf.DUMMYFUNCTION("""COMPUTED_VALUE"""),"544540")</f>
        <v>544540</v>
      </c>
      <c r="C92" s="48" t="str">
        <f ca="1">IFERROR(__xludf.DUMMYFUNCTION("""COMPUTED_VALUE"""),"CARRION")</f>
        <v>CARRION</v>
      </c>
      <c r="D92" s="48" t="str">
        <f ca="1">IFERROR(__xludf.DUMMYFUNCTION("""COMPUTED_VALUE"""),"Dominique")</f>
        <v>Dominique</v>
      </c>
      <c r="E92" s="49" t="str">
        <f ca="1">IFERROR(__xludf.DUMMYFUNCTION("""COMPUTED_VALUE"""),"06540128")</f>
        <v>06540128</v>
      </c>
      <c r="F92" s="48" t="str">
        <f ca="1">IFERROR(__xludf.DUMMYFUNCTION("""COMPUTED_VALUE"""),"PONT A MOUSSON A.S.T.T.")</f>
        <v>PONT A MOUSSON A.S.T.T.</v>
      </c>
      <c r="G92" s="50" t="str">
        <f ca="1">IFERROR(__xludf.DUMMYFUNCTION("""COMPUTED_VALUE"""),"CD54")</f>
        <v>CD54</v>
      </c>
      <c r="H92" s="50" t="str">
        <f ca="1">IFERROR(__xludf.DUMMYFUNCTION("""COMPUTED_VALUE"""),"actif")</f>
        <v>actif</v>
      </c>
    </row>
    <row r="93" spans="1:8" ht="12.75">
      <c r="A93" s="46">
        <f ca="1">IFERROR(__xludf.DUMMYFUNCTION("""COMPUTED_VALUE"""),81)</f>
        <v>81</v>
      </c>
      <c r="B93" s="65" t="str">
        <f ca="1">IFERROR(__xludf.DUMMYFUNCTION("""COMPUTED_VALUE"""),"5719426")</f>
        <v>5719426</v>
      </c>
      <c r="C93" s="48" t="str">
        <f ca="1">IFERROR(__xludf.DUMMYFUNCTION("""COMPUTED_VALUE"""),"CASONI")</f>
        <v>CASONI</v>
      </c>
      <c r="D93" s="48" t="str">
        <f ca="1">IFERROR(__xludf.DUMMYFUNCTION("""COMPUTED_VALUE"""),"Laurent")</f>
        <v>Laurent</v>
      </c>
      <c r="E93" s="49" t="str">
        <f ca="1">IFERROR(__xludf.DUMMYFUNCTION("""COMPUTED_VALUE"""),"06570073")</f>
        <v>06570073</v>
      </c>
      <c r="F93" s="48" t="str">
        <f ca="1">IFERROR(__xludf.DUMMYFUNCTION("""COMPUTED_VALUE"""),"TERVILLE Tennis de Table")</f>
        <v>TERVILLE Tennis de Table</v>
      </c>
      <c r="G93" s="50" t="str">
        <f ca="1">IFERROR(__xludf.DUMMYFUNCTION("""COMPUTED_VALUE"""),"CD57")</f>
        <v>CD57</v>
      </c>
      <c r="H93" s="50" t="str">
        <f ca="1">IFERROR(__xludf.DUMMYFUNCTION("""COMPUTED_VALUE"""),"inactivité 2ème année")</f>
        <v>inactivité 2ème année</v>
      </c>
    </row>
    <row r="94" spans="1:8" ht="12.75">
      <c r="A94" s="46">
        <f ca="1">IFERROR(__xludf.DUMMYFUNCTION("""COMPUTED_VALUE"""),82)</f>
        <v>82</v>
      </c>
      <c r="B94" s="65" t="str">
        <f ca="1">IFERROR(__xludf.DUMMYFUNCTION("""COMPUTED_VALUE"""),"105826")</f>
        <v>105826</v>
      </c>
      <c r="C94" s="48" t="str">
        <f ca="1">IFERROR(__xludf.DUMMYFUNCTION("""COMPUTED_VALUE"""),"CHAMPION")</f>
        <v>CHAMPION</v>
      </c>
      <c r="D94" s="48" t="str">
        <f ca="1">IFERROR(__xludf.DUMMYFUNCTION("""COMPUTED_VALUE"""),"Jocelyn")</f>
        <v>Jocelyn</v>
      </c>
      <c r="E94" s="49" t="str">
        <f ca="1">IFERROR(__xludf.DUMMYFUNCTION("""COMPUTED_VALUE"""),"06100007")</f>
        <v>06100007</v>
      </c>
      <c r="F94" s="48" t="str">
        <f ca="1">IFERROR(__xludf.DUMMYFUNCTION("""COMPUTED_VALUE"""),"ST PARRES AUX TERTRES AST")</f>
        <v>ST PARRES AUX TERTRES AST</v>
      </c>
      <c r="G94" s="50" t="str">
        <f ca="1">IFERROR(__xludf.DUMMYFUNCTION("""COMPUTED_VALUE"""),"CD10")</f>
        <v>CD10</v>
      </c>
      <c r="H94" s="50" t="str">
        <f ca="1">IFERROR(__xludf.DUMMYFUNCTION("""COMPUTED_VALUE"""),"inactivité 1ère année")</f>
        <v>inactivité 1ère année</v>
      </c>
    </row>
    <row r="95" spans="1:8" ht="12.75">
      <c r="A95" s="46">
        <f ca="1">IFERROR(__xludf.DUMMYFUNCTION("""COMPUTED_VALUE"""),83)</f>
        <v>83</v>
      </c>
      <c r="B95" s="65" t="str">
        <f ca="1">IFERROR(__xludf.DUMMYFUNCTION("""COMPUTED_VALUE"""),"0812759")</f>
        <v>0812759</v>
      </c>
      <c r="C95" s="48" t="str">
        <f ca="1">IFERROR(__xludf.DUMMYFUNCTION("""COMPUTED_VALUE"""),"CHANZY")</f>
        <v>CHANZY</v>
      </c>
      <c r="D95" s="48" t="str">
        <f ca="1">IFERROR(__xludf.DUMMYFUNCTION("""COMPUTED_VALUE"""),"Julien")</f>
        <v>Julien</v>
      </c>
      <c r="E95" s="49" t="str">
        <f ca="1">IFERROR(__xludf.DUMMYFUNCTION("""COMPUTED_VALUE"""),"06080013")</f>
        <v>06080013</v>
      </c>
      <c r="F95" s="48" t="str">
        <f ca="1">IFERROR(__xludf.DUMMYFUNCTION("""COMPUTED_VALUE"""),"TAGNON PPC")</f>
        <v>TAGNON PPC</v>
      </c>
      <c r="G95" s="50" t="str">
        <f ca="1">IFERROR(__xludf.DUMMYFUNCTION("""COMPUTED_VALUE"""),"CD08")</f>
        <v>CD08</v>
      </c>
      <c r="H95" s="50" t="str">
        <f ca="1">IFERROR(__xludf.DUMMYFUNCTION("""COMPUTED_VALUE"""),"inactivité 2ème année")</f>
        <v>inactivité 2ème année</v>
      </c>
    </row>
    <row r="96" spans="1:8" ht="12.75">
      <c r="A96" s="46">
        <f ca="1">IFERROR(__xludf.DUMMYFUNCTION("""COMPUTED_VALUE"""),84)</f>
        <v>84</v>
      </c>
      <c r="B96" s="65" t="str">
        <f ca="1">IFERROR(__xludf.DUMMYFUNCTION("""COMPUTED_VALUE"""),"525068")</f>
        <v>525068</v>
      </c>
      <c r="C96" s="48" t="str">
        <f ca="1">IFERROR(__xludf.DUMMYFUNCTION("""COMPUTED_VALUE"""),"CHARLIER")</f>
        <v>CHARLIER</v>
      </c>
      <c r="D96" s="48" t="str">
        <f ca="1">IFERROR(__xludf.DUMMYFUNCTION("""COMPUTED_VALUE"""),"Christophe")</f>
        <v>Christophe</v>
      </c>
      <c r="E96" s="49" t="str">
        <f ca="1">IFERROR(__xludf.DUMMYFUNCTION("""COMPUTED_VALUE"""),"06520003")</f>
        <v>06520003</v>
      </c>
      <c r="F96" s="48" t="str">
        <f ca="1">IFERROR(__xludf.DUMMYFUNCTION("""COMPUTED_VALUE"""),"EURVILLE BIENVILLE Jeunes")</f>
        <v>EURVILLE BIENVILLE Jeunes</v>
      </c>
      <c r="G96" s="50" t="str">
        <f ca="1">IFERROR(__xludf.DUMMYFUNCTION("""COMPUTED_VALUE"""),"CD52")</f>
        <v>CD52</v>
      </c>
      <c r="H96" s="50" t="str">
        <f ca="1">IFERROR(__xludf.DUMMYFUNCTION("""COMPUTED_VALUE"""),"actif")</f>
        <v>actif</v>
      </c>
    </row>
    <row r="97" spans="1:8" ht="12.75">
      <c r="A97" s="46">
        <f ca="1">IFERROR(__xludf.DUMMYFUNCTION("""COMPUTED_VALUE"""),85)</f>
        <v>85</v>
      </c>
      <c r="B97" s="65" t="str">
        <f ca="1">IFERROR(__xludf.DUMMYFUNCTION("""COMPUTED_VALUE"""),"557539")</f>
        <v>557539</v>
      </c>
      <c r="C97" s="48" t="str">
        <f ca="1">IFERROR(__xludf.DUMMYFUNCTION("""COMPUTED_VALUE"""),"CHARPIN")</f>
        <v>CHARPIN</v>
      </c>
      <c r="D97" s="48" t="str">
        <f ca="1">IFERROR(__xludf.DUMMYFUNCTION("""COMPUTED_VALUE"""),"Theo")</f>
        <v>Theo</v>
      </c>
      <c r="E97" s="49" t="str">
        <f ca="1">IFERROR(__xludf.DUMMYFUNCTION("""COMPUTED_VALUE"""),"06550005")</f>
        <v>06550005</v>
      </c>
      <c r="F97" s="48" t="str">
        <f ca="1">IFERROR(__xludf.DUMMYFUNCTION("""COMPUTED_VALUE"""),"SAINT MIHIEL P.P.C.")</f>
        <v>SAINT MIHIEL P.P.C.</v>
      </c>
      <c r="G97" s="50" t="str">
        <f ca="1">IFERROR(__xludf.DUMMYFUNCTION("""COMPUTED_VALUE"""),"CD55")</f>
        <v>CD55</v>
      </c>
      <c r="H97" s="50" t="str">
        <f ca="1">IFERROR(__xludf.DUMMYFUNCTION("""COMPUTED_VALUE"""),"inactivité 1ère année")</f>
        <v>inactivité 1ère année</v>
      </c>
    </row>
    <row r="98" spans="1:8" ht="12.75">
      <c r="A98" s="46">
        <f ca="1">IFERROR(__xludf.DUMMYFUNCTION("""COMPUTED_VALUE"""),86)</f>
        <v>86</v>
      </c>
      <c r="B98" s="65" t="str">
        <f ca="1">IFERROR(__xludf.DUMMYFUNCTION("""COMPUTED_VALUE"""),"8816452")</f>
        <v>8816452</v>
      </c>
      <c r="C98" s="48" t="str">
        <f ca="1">IFERROR(__xludf.DUMMYFUNCTION("""COMPUTED_VALUE"""),"CHARRIER")</f>
        <v>CHARRIER</v>
      </c>
      <c r="D98" s="48" t="str">
        <f ca="1">IFERROR(__xludf.DUMMYFUNCTION("""COMPUTED_VALUE"""),"Thierry")</f>
        <v>Thierry</v>
      </c>
      <c r="E98" s="49" t="str">
        <f ca="1">IFERROR(__xludf.DUMMYFUNCTION("""COMPUTED_VALUE"""),"06880002")</f>
        <v>06880002</v>
      </c>
      <c r="F98" s="48" t="str">
        <f ca="1">IFERROR(__xludf.DUMMYFUNCTION("""COMPUTED_VALUE"""),"ANOULD Cercle Pongiste")</f>
        <v>ANOULD Cercle Pongiste</v>
      </c>
      <c r="G98" s="50" t="str">
        <f ca="1">IFERROR(__xludf.DUMMYFUNCTION("""COMPUTED_VALUE"""),"CD88")</f>
        <v>CD88</v>
      </c>
      <c r="H98" s="50" t="str">
        <f ca="1">IFERROR(__xludf.DUMMYFUNCTION("""COMPUTED_VALUE"""),"inactivité 1ère année")</f>
        <v>inactivité 1ère année</v>
      </c>
    </row>
    <row r="99" spans="1:8" ht="12.75">
      <c r="A99" s="46">
        <f ca="1">IFERROR(__xludf.DUMMYFUNCTION("""COMPUTED_VALUE"""),87)</f>
        <v>87</v>
      </c>
      <c r="B99" s="65" t="str">
        <f ca="1">IFERROR(__xludf.DUMMYFUNCTION("""COMPUTED_VALUE"""),"6813901")</f>
        <v>6813901</v>
      </c>
      <c r="C99" s="48" t="str">
        <f ca="1">IFERROR(__xludf.DUMMYFUNCTION("""COMPUTED_VALUE"""),"CHASTRUSSE")</f>
        <v>CHASTRUSSE</v>
      </c>
      <c r="D99" s="48" t="str">
        <f ca="1">IFERROR(__xludf.DUMMYFUNCTION("""COMPUTED_VALUE"""),"Hugo")</f>
        <v>Hugo</v>
      </c>
      <c r="E99" s="49" t="str">
        <f ca="1">IFERROR(__xludf.DUMMYFUNCTION("""COMPUTED_VALUE"""),"06680105")</f>
        <v>06680105</v>
      </c>
      <c r="F99" s="48" t="str">
        <f ca="1">IFERROR(__xludf.DUMMYFUNCTION("""COMPUTED_VALUE"""),"MULHOUSE TENNIS DE TABLE")</f>
        <v>MULHOUSE TENNIS DE TABLE</v>
      </c>
      <c r="G99" s="50" t="str">
        <f ca="1">IFERROR(__xludf.DUMMYFUNCTION("""COMPUTED_VALUE"""),"CD68")</f>
        <v>CD68</v>
      </c>
      <c r="H99" s="50" t="str">
        <f ca="1">IFERROR(__xludf.DUMMYFUNCTION("""COMPUTED_VALUE"""),"inactivité 1ère année")</f>
        <v>inactivité 1ère année</v>
      </c>
    </row>
    <row r="100" spans="1:8" ht="12.75">
      <c r="A100" s="46">
        <f ca="1">IFERROR(__xludf.DUMMYFUNCTION("""COMPUTED_VALUE"""),88)</f>
        <v>88</v>
      </c>
      <c r="B100" s="65" t="str">
        <f ca="1">IFERROR(__xludf.DUMMYFUNCTION("""COMPUTED_VALUE"""),"548971")</f>
        <v>548971</v>
      </c>
      <c r="C100" s="48" t="str">
        <f ca="1">IFERROR(__xludf.DUMMYFUNCTION("""COMPUTED_VALUE"""),"CHRISTAL")</f>
        <v>CHRISTAL</v>
      </c>
      <c r="D100" s="48" t="str">
        <f ca="1">IFERROR(__xludf.DUMMYFUNCTION("""COMPUTED_VALUE"""),"Virginie")</f>
        <v>Virginie</v>
      </c>
      <c r="E100" s="49" t="str">
        <f ca="1">IFERROR(__xludf.DUMMYFUNCTION("""COMPUTED_VALUE"""),"06540088")</f>
        <v>06540088</v>
      </c>
      <c r="F100" s="48" t="str">
        <f ca="1">IFERROR(__xludf.DUMMYFUNCTION("""COMPUTED_VALUE"""),"CHANTEHEUX TT")</f>
        <v>CHANTEHEUX TT</v>
      </c>
      <c r="G100" s="50" t="str">
        <f ca="1">IFERROR(__xludf.DUMMYFUNCTION("""COMPUTED_VALUE"""),"CD54")</f>
        <v>CD54</v>
      </c>
      <c r="H100" s="50" t="str">
        <f ca="1">IFERROR(__xludf.DUMMYFUNCTION("""COMPUTED_VALUE"""),"actif")</f>
        <v>actif</v>
      </c>
    </row>
    <row r="101" spans="1:8" ht="12.75">
      <c r="A101" s="46">
        <f ca="1">IFERROR(__xludf.DUMMYFUNCTION("""COMPUTED_VALUE"""),89)</f>
        <v>89</v>
      </c>
      <c r="B101" s="65" t="str">
        <f ca="1">IFERROR(__xludf.DUMMYFUNCTION("""COMPUTED_VALUE"""),"548807")</f>
        <v>548807</v>
      </c>
      <c r="C101" s="48" t="str">
        <f ca="1">IFERROR(__xludf.DUMMYFUNCTION("""COMPUTED_VALUE"""),"CHRISTAL")</f>
        <v>CHRISTAL</v>
      </c>
      <c r="D101" s="48" t="str">
        <f ca="1">IFERROR(__xludf.DUMMYFUNCTION("""COMPUTED_VALUE"""),"Regis")</f>
        <v>Regis</v>
      </c>
      <c r="E101" s="49" t="str">
        <f ca="1">IFERROR(__xludf.DUMMYFUNCTION("""COMPUTED_VALUE"""),"06540088")</f>
        <v>06540088</v>
      </c>
      <c r="F101" s="48" t="str">
        <f ca="1">IFERROR(__xludf.DUMMYFUNCTION("""COMPUTED_VALUE"""),"CHANTEHEUX TT")</f>
        <v>CHANTEHEUX TT</v>
      </c>
      <c r="G101" s="50" t="str">
        <f ca="1">IFERROR(__xludf.DUMMYFUNCTION("""COMPUTED_VALUE"""),"CD54")</f>
        <v>CD54</v>
      </c>
      <c r="H101" s="50" t="str">
        <f ca="1">IFERROR(__xludf.DUMMYFUNCTION("""COMPUTED_VALUE"""),"actif")</f>
        <v>actif</v>
      </c>
    </row>
    <row r="102" spans="1:8" ht="12.75">
      <c r="A102" s="46">
        <f ca="1">IFERROR(__xludf.DUMMYFUNCTION("""COMPUTED_VALUE"""),90)</f>
        <v>90</v>
      </c>
      <c r="B102" s="65" t="str">
        <f ca="1">IFERROR(__xludf.DUMMYFUNCTION("""COMPUTED_VALUE"""),"8814913")</f>
        <v>8814913</v>
      </c>
      <c r="C102" s="48" t="str">
        <f ca="1">IFERROR(__xludf.DUMMYFUNCTION("""COMPUTED_VALUE"""),"CHRISTAL")</f>
        <v>CHRISTAL</v>
      </c>
      <c r="D102" s="48" t="str">
        <f ca="1">IFERROR(__xludf.DUMMYFUNCTION("""COMPUTED_VALUE"""),"Adryan")</f>
        <v>Adryan</v>
      </c>
      <c r="E102" s="49" t="str">
        <f ca="1">IFERROR(__xludf.DUMMYFUNCTION("""COMPUTED_VALUE"""),"06540088")</f>
        <v>06540088</v>
      </c>
      <c r="F102" s="48" t="str">
        <f ca="1">IFERROR(__xludf.DUMMYFUNCTION("""COMPUTED_VALUE"""),"CHANTEHEUX TT")</f>
        <v>CHANTEHEUX TT</v>
      </c>
      <c r="G102" s="50" t="str">
        <f ca="1">IFERROR(__xludf.DUMMYFUNCTION("""COMPUTED_VALUE"""),"CD54")</f>
        <v>CD54</v>
      </c>
      <c r="H102" s="50" t="str">
        <f ca="1">IFERROR(__xludf.DUMMYFUNCTION("""COMPUTED_VALUE"""),"inactivité 1ère année")</f>
        <v>inactivité 1ère année</v>
      </c>
    </row>
    <row r="103" spans="1:8" ht="12.75">
      <c r="A103" s="46">
        <f ca="1">IFERROR(__xludf.DUMMYFUNCTION("""COMPUTED_VALUE"""),91)</f>
        <v>91</v>
      </c>
      <c r="B103" s="65" t="str">
        <f ca="1">IFERROR(__xludf.DUMMYFUNCTION("""COMPUTED_VALUE"""),"106927")</f>
        <v>106927</v>
      </c>
      <c r="C103" s="48" t="str">
        <f ca="1">IFERROR(__xludf.DUMMYFUNCTION("""COMPUTED_VALUE"""),"CLEMENTINE")</f>
        <v>CLEMENTINE</v>
      </c>
      <c r="D103" s="48" t="str">
        <f ca="1">IFERROR(__xludf.DUMMYFUNCTION("""COMPUTED_VALUE"""),"Ludovic")</f>
        <v>Ludovic</v>
      </c>
      <c r="E103" s="49" t="str">
        <f ca="1">IFERROR(__xludf.DUMMYFUNCTION("""COMPUTED_VALUE"""),"06100016")</f>
        <v>06100016</v>
      </c>
      <c r="F103" s="48" t="str">
        <f ca="1">IFERROR(__xludf.DUMMYFUNCTION("""COMPUTED_VALUE"""),"BAR SUR SEINE FJ")</f>
        <v>BAR SUR SEINE FJ</v>
      </c>
      <c r="G103" s="50" t="str">
        <f ca="1">IFERROR(__xludf.DUMMYFUNCTION("""COMPUTED_VALUE"""),"CD10")</f>
        <v>CD10</v>
      </c>
      <c r="H103" s="50" t="str">
        <f ca="1">IFERROR(__xludf.DUMMYFUNCTION("""COMPUTED_VALUE"""),"inactivité 2ème année")</f>
        <v>inactivité 2ème année</v>
      </c>
    </row>
    <row r="104" spans="1:8" ht="12.75">
      <c r="A104" s="46">
        <f ca="1">IFERROR(__xludf.DUMMYFUNCTION("""COMPUTED_VALUE"""),92)</f>
        <v>92</v>
      </c>
      <c r="B104" s="65" t="str">
        <f ca="1">IFERROR(__xludf.DUMMYFUNCTION("""COMPUTED_VALUE"""),"104532")</f>
        <v>104532</v>
      </c>
      <c r="C104" s="48" t="str">
        <f ca="1">IFERROR(__xludf.DUMMYFUNCTION("""COMPUTED_VALUE"""),"COK")</f>
        <v>COK</v>
      </c>
      <c r="D104" s="48" t="str">
        <f ca="1">IFERROR(__xludf.DUMMYFUNCTION("""COMPUTED_VALUE"""),"Nicolai")</f>
        <v>Nicolai</v>
      </c>
      <c r="E104" s="49" t="str">
        <f ca="1">IFERROR(__xludf.DUMMYFUNCTION("""COMPUTED_VALUE"""),"06100041")</f>
        <v>06100041</v>
      </c>
      <c r="F104" s="48" t="str">
        <f ca="1">IFERROR(__xludf.DUMMYFUNCTION("""COMPUTED_VALUE"""),"AIX EN OTHE SDTDT")</f>
        <v>AIX EN OTHE SDTDT</v>
      </c>
      <c r="G104" s="50" t="str">
        <f ca="1">IFERROR(__xludf.DUMMYFUNCTION("""COMPUTED_VALUE"""),"CD10")</f>
        <v>CD10</v>
      </c>
      <c r="H104" s="50" t="str">
        <f ca="1">IFERROR(__xludf.DUMMYFUNCTION("""COMPUTED_VALUE"""),"inactivité 1ère année")</f>
        <v>inactivité 1ère année</v>
      </c>
    </row>
    <row r="105" spans="1:8" ht="12.75">
      <c r="A105" s="46">
        <f ca="1">IFERROR(__xludf.DUMMYFUNCTION("""COMPUTED_VALUE"""),93)</f>
        <v>93</v>
      </c>
      <c r="B105" s="66" t="str">
        <f ca="1">IFERROR(__xludf.DUMMYFUNCTION("""COMPUTED_VALUE"""),"104628")</f>
        <v>104628</v>
      </c>
      <c r="C105" s="67" t="str">
        <f ca="1">IFERROR(__xludf.DUMMYFUNCTION("""COMPUTED_VALUE"""),"COK")</f>
        <v>COK</v>
      </c>
      <c r="D105" s="68" t="str">
        <f ca="1">IFERROR(__xludf.DUMMYFUNCTION("""COMPUTED_VALUE"""),"Judith")</f>
        <v>Judith</v>
      </c>
      <c r="E105" s="69" t="str">
        <f ca="1">IFERROR(__xludf.DUMMYFUNCTION("""COMPUTED_VALUE"""),"06100041")</f>
        <v>06100041</v>
      </c>
      <c r="F105" s="68" t="str">
        <f ca="1">IFERROR(__xludf.DUMMYFUNCTION("""COMPUTED_VALUE"""),"AIX EN OTHE SDTDT")</f>
        <v>AIX EN OTHE SDTDT</v>
      </c>
      <c r="G105" s="51" t="str">
        <f ca="1">IFERROR(__xludf.DUMMYFUNCTION("""COMPUTED_VALUE"""),"CD10")</f>
        <v>CD10</v>
      </c>
      <c r="H105" s="51" t="str">
        <f ca="1">IFERROR(__xludf.DUMMYFUNCTION("""COMPUTED_VALUE"""),"inactivité 3ème année")</f>
        <v>inactivité 3ème année</v>
      </c>
    </row>
    <row r="106" spans="1:8" ht="12.75">
      <c r="A106" s="46">
        <f ca="1">IFERROR(__xludf.DUMMYFUNCTION("""COMPUTED_VALUE"""),94)</f>
        <v>94</v>
      </c>
      <c r="B106" s="65" t="str">
        <f ca="1">IFERROR(__xludf.DUMMYFUNCTION("""COMPUTED_VALUE"""),"541746")</f>
        <v>541746</v>
      </c>
      <c r="C106" s="48" t="str">
        <f ca="1">IFERROR(__xludf.DUMMYFUNCTION("""COMPUTED_VALUE"""),"COLLIGNON")</f>
        <v>COLLIGNON</v>
      </c>
      <c r="D106" s="48" t="str">
        <f ca="1">IFERROR(__xludf.DUMMYFUNCTION("""COMPUTED_VALUE"""),"Gilles")</f>
        <v>Gilles</v>
      </c>
      <c r="E106" s="49" t="str">
        <f ca="1">IFERROR(__xludf.DUMMYFUNCTION("""COMPUTED_VALUE"""),"06540032")</f>
        <v>06540032</v>
      </c>
      <c r="F106" s="48" t="str">
        <f ca="1">IFERROR(__xludf.DUMMYFUNCTION("""COMPUTED_VALUE"""),"NEUVES MAISONS TT")</f>
        <v>NEUVES MAISONS TT</v>
      </c>
      <c r="G106" s="50" t="str">
        <f ca="1">IFERROR(__xludf.DUMMYFUNCTION("""COMPUTED_VALUE"""),"CD54")</f>
        <v>CD54</v>
      </c>
      <c r="H106" s="50" t="str">
        <f ca="1">IFERROR(__xludf.DUMMYFUNCTION("""COMPUTED_VALUE"""),"inactivité 1ère année")</f>
        <v>inactivité 1ère année</v>
      </c>
    </row>
    <row r="107" spans="1:8" ht="12.75">
      <c r="A107" s="46">
        <f ca="1">IFERROR(__xludf.DUMMYFUNCTION("""COMPUTED_VALUE"""),95)</f>
        <v>95</v>
      </c>
      <c r="B107" s="65" t="str">
        <f ca="1">IFERROR(__xludf.DUMMYFUNCTION("""COMPUTED_VALUE"""),"5428655")</f>
        <v>5428655</v>
      </c>
      <c r="C107" s="48" t="str">
        <f ca="1">IFERROR(__xludf.DUMMYFUNCTION("""COMPUTED_VALUE"""),"COLLOT")</f>
        <v>COLLOT</v>
      </c>
      <c r="D107" s="48" t="str">
        <f ca="1">IFERROR(__xludf.DUMMYFUNCTION("""COMPUTED_VALUE"""),"Laurent")</f>
        <v>Laurent</v>
      </c>
      <c r="E107" s="49" t="str">
        <f ca="1">IFERROR(__xludf.DUMMYFUNCTION("""COMPUTED_VALUE"""),"06540007")</f>
        <v>06540007</v>
      </c>
      <c r="F107" s="48" t="str">
        <f ca="1">IFERROR(__xludf.DUMMYFUNCTION("""COMPUTED_VALUE"""),"BRIEY U.S. Tennis de Table")</f>
        <v>BRIEY U.S. Tennis de Table</v>
      </c>
      <c r="G107" s="50" t="str">
        <f ca="1">IFERROR(__xludf.DUMMYFUNCTION("""COMPUTED_VALUE"""),"CD54")</f>
        <v>CD54</v>
      </c>
      <c r="H107" s="50" t="str">
        <f ca="1">IFERROR(__xludf.DUMMYFUNCTION("""COMPUTED_VALUE"""),"inactivité 1ère année")</f>
        <v>inactivité 1ère année</v>
      </c>
    </row>
    <row r="108" spans="1:8" ht="12.75">
      <c r="A108" s="46">
        <f ca="1">IFERROR(__xludf.DUMMYFUNCTION("""COMPUTED_VALUE"""),96)</f>
        <v>96</v>
      </c>
      <c r="B108" s="65" t="str">
        <f ca="1">IFERROR(__xludf.DUMMYFUNCTION("""COMPUTED_VALUE"""),"5430069")</f>
        <v>5430069</v>
      </c>
      <c r="C108" s="48" t="str">
        <f ca="1">IFERROR(__xludf.DUMMYFUNCTION("""COMPUTED_VALUE"""),"COLLOT")</f>
        <v>COLLOT</v>
      </c>
      <c r="D108" s="48" t="str">
        <f ca="1">IFERROR(__xludf.DUMMYFUNCTION("""COMPUTED_VALUE"""),"Noemie")</f>
        <v>Noemie</v>
      </c>
      <c r="E108" s="49" t="str">
        <f ca="1">IFERROR(__xludf.DUMMYFUNCTION("""COMPUTED_VALUE"""),"06540007")</f>
        <v>06540007</v>
      </c>
      <c r="F108" s="48" t="str">
        <f ca="1">IFERROR(__xludf.DUMMYFUNCTION("""COMPUTED_VALUE"""),"BRIEY U.S. Tennis de Table")</f>
        <v>BRIEY U.S. Tennis de Table</v>
      </c>
      <c r="G108" s="50" t="str">
        <f ca="1">IFERROR(__xludf.DUMMYFUNCTION("""COMPUTED_VALUE"""),"CD54")</f>
        <v>CD54</v>
      </c>
      <c r="H108" s="50" t="str">
        <f ca="1">IFERROR(__xludf.DUMMYFUNCTION("""COMPUTED_VALUE"""),"inactivité 1ère année")</f>
        <v>inactivité 1ère année</v>
      </c>
    </row>
    <row r="109" spans="1:8" ht="12.75">
      <c r="A109" s="46">
        <f ca="1">IFERROR(__xludf.DUMMYFUNCTION("""COMPUTED_VALUE"""),97)</f>
        <v>97</v>
      </c>
      <c r="B109" s="65" t="str">
        <f ca="1">IFERROR(__xludf.DUMMYFUNCTION("""COMPUTED_VALUE"""),"089473")</f>
        <v>089473</v>
      </c>
      <c r="C109" s="48" t="str">
        <f ca="1">IFERROR(__xludf.DUMMYFUNCTION("""COMPUTED_VALUE"""),"COLSON")</f>
        <v>COLSON</v>
      </c>
      <c r="D109" s="48" t="str">
        <f ca="1">IFERROR(__xludf.DUMMYFUNCTION("""COMPUTED_VALUE"""),"Virginie")</f>
        <v>Virginie</v>
      </c>
      <c r="E109" s="49" t="str">
        <f ca="1">IFERROR(__xludf.DUMMYFUNCTION("""COMPUTED_VALUE"""),"06080006")</f>
        <v>06080006</v>
      </c>
      <c r="F109" s="48" t="str">
        <f ca="1">IFERROR(__xludf.DUMMYFUNCTION("""COMPUTED_VALUE"""),"BAZEILLES PPC")</f>
        <v>BAZEILLES PPC</v>
      </c>
      <c r="G109" s="50" t="str">
        <f ca="1">IFERROR(__xludf.DUMMYFUNCTION("""COMPUTED_VALUE"""),"CD08")</f>
        <v>CD08</v>
      </c>
      <c r="H109" s="50" t="str">
        <f ca="1">IFERROR(__xludf.DUMMYFUNCTION("""COMPUTED_VALUE"""),"actif")</f>
        <v>actif</v>
      </c>
    </row>
    <row r="110" spans="1:8" ht="12.75">
      <c r="A110" s="46">
        <f ca="1">IFERROR(__xludf.DUMMYFUNCTION("""COMPUTED_VALUE"""),98)</f>
        <v>98</v>
      </c>
      <c r="B110" s="65" t="str">
        <f ca="1">IFERROR(__xludf.DUMMYFUNCTION("""COMPUTED_VALUE"""),"08717")</f>
        <v>08717</v>
      </c>
      <c r="C110" s="48" t="str">
        <f ca="1">IFERROR(__xludf.DUMMYFUNCTION("""COMPUTED_VALUE"""),"COMANDINI")</f>
        <v>COMANDINI</v>
      </c>
      <c r="D110" s="48" t="str">
        <f ca="1">IFERROR(__xludf.DUMMYFUNCTION("""COMPUTED_VALUE"""),"Alain")</f>
        <v>Alain</v>
      </c>
      <c r="E110" s="49" t="str">
        <f ca="1">IFERROR(__xludf.DUMMYFUNCTION("""COMPUTED_VALUE"""),"06080014")</f>
        <v>06080014</v>
      </c>
      <c r="F110" s="48" t="str">
        <f ca="1">IFERROR(__xludf.DUMMYFUNCTION("""COMPUTED_VALUE"""),"REVIN - HAYBOISE TT")</f>
        <v>REVIN - HAYBOISE TT</v>
      </c>
      <c r="G110" s="50" t="str">
        <f ca="1">IFERROR(__xludf.DUMMYFUNCTION("""COMPUTED_VALUE"""),"CD08")</f>
        <v>CD08</v>
      </c>
      <c r="H110" s="50" t="str">
        <f ca="1">IFERROR(__xludf.DUMMYFUNCTION("""COMPUTED_VALUE"""),"inactivité 3ème année")</f>
        <v>inactivité 3ème année</v>
      </c>
    </row>
    <row r="111" spans="1:8" ht="12.75">
      <c r="A111" s="46">
        <f ca="1">IFERROR(__xludf.DUMMYFUNCTION("""COMPUTED_VALUE"""),99)</f>
        <v>99</v>
      </c>
      <c r="B111" s="65" t="str">
        <f ca="1">IFERROR(__xludf.DUMMYFUNCTION("""COMPUTED_VALUE"""),"883457")</f>
        <v>883457</v>
      </c>
      <c r="C111" s="48" t="str">
        <f ca="1">IFERROR(__xludf.DUMMYFUNCTION("""COMPUTED_VALUE"""),"CONCETTI")</f>
        <v>CONCETTI</v>
      </c>
      <c r="D111" s="48" t="str">
        <f ca="1">IFERROR(__xludf.DUMMYFUNCTION("""COMPUTED_VALUE"""),"Antoine")</f>
        <v>Antoine</v>
      </c>
      <c r="E111" s="49" t="str">
        <f ca="1">IFERROR(__xludf.DUMMYFUNCTION("""COMPUTED_VALUE"""),"06880123")</f>
        <v>06880123</v>
      </c>
      <c r="F111" s="48" t="str">
        <f ca="1">IFERROR(__xludf.DUMMYFUNCTION("""COMPUTED_VALUE"""),"ETIVAL ASRTT")</f>
        <v>ETIVAL ASRTT</v>
      </c>
      <c r="G111" s="50" t="str">
        <f ca="1">IFERROR(__xludf.DUMMYFUNCTION("""COMPUTED_VALUE"""),"CD88")</f>
        <v>CD88</v>
      </c>
      <c r="H111" s="50" t="str">
        <f ca="1">IFERROR(__xludf.DUMMYFUNCTION("""COMPUTED_VALUE"""),"inactivité 1ère année")</f>
        <v>inactivité 1ère année</v>
      </c>
    </row>
    <row r="112" spans="1:8" ht="12.75">
      <c r="A112" s="46">
        <f ca="1">IFERROR(__xludf.DUMMYFUNCTION("""COMPUTED_VALUE"""),100)</f>
        <v>100</v>
      </c>
      <c r="B112" s="65" t="str">
        <f ca="1">IFERROR(__xludf.DUMMYFUNCTION("""COMPUTED_VALUE"""),"8818032")</f>
        <v>8818032</v>
      </c>
      <c r="C112" s="48" t="str">
        <f ca="1">IFERROR(__xludf.DUMMYFUNCTION("""COMPUTED_VALUE"""),"CONREAUX")</f>
        <v>CONREAUX</v>
      </c>
      <c r="D112" s="48" t="str">
        <f ca="1">IFERROR(__xludf.DUMMYFUNCTION("""COMPUTED_VALUE"""),"Sebastien")</f>
        <v>Sebastien</v>
      </c>
      <c r="E112" s="49" t="str">
        <f ca="1">IFERROR(__xludf.DUMMYFUNCTION("""COMPUTED_VALUE"""),"06880002")</f>
        <v>06880002</v>
      </c>
      <c r="F112" s="48" t="str">
        <f ca="1">IFERROR(__xludf.DUMMYFUNCTION("""COMPUTED_VALUE"""),"ANOULD Cercle Pongiste")</f>
        <v>ANOULD Cercle Pongiste</v>
      </c>
      <c r="G112" s="50" t="str">
        <f ca="1">IFERROR(__xludf.DUMMYFUNCTION("""COMPUTED_VALUE"""),"CD88")</f>
        <v>CD88</v>
      </c>
      <c r="H112" s="50" t="str">
        <f ca="1">IFERROR(__xludf.DUMMYFUNCTION("""COMPUTED_VALUE"""),"inactivité 3ème année")</f>
        <v>inactivité 3ème année</v>
      </c>
    </row>
    <row r="113" spans="1:8" ht="12.75">
      <c r="A113" s="46">
        <f ca="1">IFERROR(__xludf.DUMMYFUNCTION("""COMPUTED_VALUE"""),101)</f>
        <v>101</v>
      </c>
      <c r="B113" s="65" t="str">
        <f ca="1">IFERROR(__xludf.DUMMYFUNCTION("""COMPUTED_VALUE"""),"5726068")</f>
        <v>5726068</v>
      </c>
      <c r="C113" s="48" t="str">
        <f ca="1">IFERROR(__xludf.DUMMYFUNCTION("""COMPUTED_VALUE"""),"CONSTANTIN")</f>
        <v>CONSTANTIN</v>
      </c>
      <c r="D113" s="48" t="str">
        <f ca="1">IFERROR(__xludf.DUMMYFUNCTION("""COMPUTED_VALUE"""),"Thierry")</f>
        <v>Thierry</v>
      </c>
      <c r="E113" s="49" t="str">
        <f ca="1">IFERROR(__xludf.DUMMYFUNCTION("""COMPUTED_VALUE"""),"06570107")</f>
        <v>06570107</v>
      </c>
      <c r="F113" s="48" t="str">
        <f ca="1">IFERROR(__xludf.DUMMYFUNCTION("""COMPUTED_VALUE"""),"MAIZIÈRES-LÈS-METZ T.T.")</f>
        <v>MAIZIÈRES-LÈS-METZ T.T.</v>
      </c>
      <c r="G113" s="50" t="str">
        <f ca="1">IFERROR(__xludf.DUMMYFUNCTION("""COMPUTED_VALUE"""),"CD57")</f>
        <v>CD57</v>
      </c>
      <c r="H113" s="50" t="str">
        <f ca="1">IFERROR(__xludf.DUMMYFUNCTION("""COMPUTED_VALUE"""),"actif")</f>
        <v>actif</v>
      </c>
    </row>
    <row r="114" spans="1:8" ht="12.75">
      <c r="A114" s="46">
        <f ca="1">IFERROR(__xludf.DUMMYFUNCTION("""COMPUTED_VALUE"""),102)</f>
        <v>102</v>
      </c>
      <c r="B114" s="65" t="str">
        <f ca="1">IFERROR(__xludf.DUMMYFUNCTION("""COMPUTED_VALUE"""),"5726069")</f>
        <v>5726069</v>
      </c>
      <c r="C114" s="48" t="str">
        <f ca="1">IFERROR(__xludf.DUMMYFUNCTION("""COMPUTED_VALUE"""),"CONSTANTIN")</f>
        <v>CONSTANTIN</v>
      </c>
      <c r="D114" s="48" t="str">
        <f ca="1">IFERROR(__xludf.DUMMYFUNCTION("""COMPUTED_VALUE"""),"Florian")</f>
        <v>Florian</v>
      </c>
      <c r="E114" s="49" t="str">
        <f ca="1">IFERROR(__xludf.DUMMYFUNCTION("""COMPUTED_VALUE"""),"06570107")</f>
        <v>06570107</v>
      </c>
      <c r="F114" s="48" t="str">
        <f ca="1">IFERROR(__xludf.DUMMYFUNCTION("""COMPUTED_VALUE"""),"MAIZIÈRES-LÈS-METZ T.T.")</f>
        <v>MAIZIÈRES-LÈS-METZ T.T.</v>
      </c>
      <c r="G114" s="50" t="str">
        <f ca="1">IFERROR(__xludf.DUMMYFUNCTION("""COMPUTED_VALUE"""),"CD57")</f>
        <v>CD57</v>
      </c>
      <c r="H114" s="50" t="str">
        <f ca="1">IFERROR(__xludf.DUMMYFUNCTION("""COMPUTED_VALUE"""),"actif")</f>
        <v>actif</v>
      </c>
    </row>
    <row r="115" spans="1:8" ht="12.75">
      <c r="A115" s="46">
        <f ca="1">IFERROR(__xludf.DUMMYFUNCTION("""COMPUTED_VALUE"""),103)</f>
        <v>103</v>
      </c>
      <c r="B115" s="65" t="str">
        <f ca="1">IFERROR(__xludf.DUMMYFUNCTION("""COMPUTED_VALUE"""),"5726070")</f>
        <v>5726070</v>
      </c>
      <c r="C115" s="48" t="str">
        <f ca="1">IFERROR(__xludf.DUMMYFUNCTION("""COMPUTED_VALUE"""),"CONSTANTIN")</f>
        <v>CONSTANTIN</v>
      </c>
      <c r="D115" s="48" t="str">
        <f ca="1">IFERROR(__xludf.DUMMYFUNCTION("""COMPUTED_VALUE"""),"Joshua")</f>
        <v>Joshua</v>
      </c>
      <c r="E115" s="49" t="str">
        <f ca="1">IFERROR(__xludf.DUMMYFUNCTION("""COMPUTED_VALUE"""),"06570073")</f>
        <v>06570073</v>
      </c>
      <c r="F115" s="48" t="str">
        <f ca="1">IFERROR(__xludf.DUMMYFUNCTION("""COMPUTED_VALUE"""),"TERVILLE Tennis de Table")</f>
        <v>TERVILLE Tennis de Table</v>
      </c>
      <c r="G115" s="50" t="str">
        <f ca="1">IFERROR(__xludf.DUMMYFUNCTION("""COMPUTED_VALUE"""),"CD57")</f>
        <v>CD57</v>
      </c>
      <c r="H115" s="50" t="str">
        <f ca="1">IFERROR(__xludf.DUMMYFUNCTION("""COMPUTED_VALUE"""),"actif")</f>
        <v>actif</v>
      </c>
    </row>
    <row r="116" spans="1:8" ht="12.75">
      <c r="A116" s="46">
        <f ca="1">IFERROR(__xludf.DUMMYFUNCTION("""COMPUTED_VALUE"""),104)</f>
        <v>104</v>
      </c>
      <c r="B116" s="65" t="str">
        <f ca="1">IFERROR(__xludf.DUMMYFUNCTION("""COMPUTED_VALUE"""),"5714038")</f>
        <v>5714038</v>
      </c>
      <c r="C116" s="48" t="str">
        <f ca="1">IFERROR(__xludf.DUMMYFUNCTION("""COMPUTED_VALUE"""),"CONWENTZ")</f>
        <v>CONWENTZ</v>
      </c>
      <c r="D116" s="48" t="str">
        <f ca="1">IFERROR(__xludf.DUMMYFUNCTION("""COMPUTED_VALUE"""),"Gilles")</f>
        <v>Gilles</v>
      </c>
      <c r="E116" s="49" t="str">
        <f ca="1">IFERROR(__xludf.DUMMYFUNCTION("""COMPUTED_VALUE"""),"06570024")</f>
        <v>06570024</v>
      </c>
      <c r="F116" s="48" t="str">
        <f ca="1">IFERROR(__xludf.DUMMYFUNCTION("""COMPUTED_VALUE"""),"THIONVILLE Tennis de Table")</f>
        <v>THIONVILLE Tennis de Table</v>
      </c>
      <c r="G116" s="50" t="str">
        <f ca="1">IFERROR(__xludf.DUMMYFUNCTION("""COMPUTED_VALUE"""),"CD57")</f>
        <v>CD57</v>
      </c>
      <c r="H116" s="50" t="str">
        <f ca="1">IFERROR(__xludf.DUMMYFUNCTION("""COMPUTED_VALUE"""),"inactivité 2ème année")</f>
        <v>inactivité 2ème année</v>
      </c>
    </row>
    <row r="117" spans="1:8" ht="12.75">
      <c r="A117" s="46">
        <f ca="1">IFERROR(__xludf.DUMMYFUNCTION("""COMPUTED_VALUE"""),105)</f>
        <v>105</v>
      </c>
      <c r="B117" s="65" t="str">
        <f ca="1">IFERROR(__xludf.DUMMYFUNCTION("""COMPUTED_VALUE"""),"5716182")</f>
        <v>5716182</v>
      </c>
      <c r="C117" s="48" t="str">
        <f ca="1">IFERROR(__xludf.DUMMYFUNCTION("""COMPUTED_VALUE"""),"CORSIN")</f>
        <v>CORSIN</v>
      </c>
      <c r="D117" s="48" t="str">
        <f ca="1">IFERROR(__xludf.DUMMYFUNCTION("""COMPUTED_VALUE"""),"Lorraine")</f>
        <v>Lorraine</v>
      </c>
      <c r="E117" s="49" t="str">
        <f ca="1">IFERROR(__xludf.DUMMYFUNCTION("""COMPUTED_VALUE"""),"06570014")</f>
        <v>06570014</v>
      </c>
      <c r="F117" s="48" t="str">
        <f ca="1">IFERROR(__xludf.DUMMYFUNCTION("""COMPUTED_VALUE"""),"MANOM J.S.")</f>
        <v>MANOM J.S.</v>
      </c>
      <c r="G117" s="50" t="str">
        <f ca="1">IFERROR(__xludf.DUMMYFUNCTION("""COMPUTED_VALUE"""),"CD57")</f>
        <v>CD57</v>
      </c>
      <c r="H117" s="50" t="str">
        <f ca="1">IFERROR(__xludf.DUMMYFUNCTION("""COMPUTED_VALUE"""),"inactivité 1ère année")</f>
        <v>inactivité 1ère année</v>
      </c>
    </row>
    <row r="118" spans="1:8" ht="12.75">
      <c r="A118" s="46">
        <f ca="1">IFERROR(__xludf.DUMMYFUNCTION("""COMPUTED_VALUE"""),106)</f>
        <v>106</v>
      </c>
      <c r="B118" s="65" t="str">
        <f ca="1">IFERROR(__xludf.DUMMYFUNCTION("""COMPUTED_VALUE"""),"5720662")</f>
        <v>5720662</v>
      </c>
      <c r="C118" s="48" t="str">
        <f ca="1">IFERROR(__xludf.DUMMYFUNCTION("""COMPUTED_VALUE"""),"CORTELLI")</f>
        <v>CORTELLI</v>
      </c>
      <c r="D118" s="48" t="str">
        <f ca="1">IFERROR(__xludf.DUMMYFUNCTION("""COMPUTED_VALUE"""),"Thibaut")</f>
        <v>Thibaut</v>
      </c>
      <c r="E118" s="49" t="str">
        <f ca="1">IFERROR(__xludf.DUMMYFUNCTION("""COMPUTED_VALUE"""),"06570070")</f>
        <v>06570070</v>
      </c>
      <c r="F118" s="48" t="str">
        <f ca="1">IFERROR(__xludf.DUMMYFUNCTION("""COMPUTED_VALUE"""),"AMNEVILLE Tennis de Table")</f>
        <v>AMNEVILLE Tennis de Table</v>
      </c>
      <c r="G118" s="50" t="str">
        <f ca="1">IFERROR(__xludf.DUMMYFUNCTION("""COMPUTED_VALUE"""),"CD57")</f>
        <v>CD57</v>
      </c>
      <c r="H118" s="50" t="str">
        <f ca="1">IFERROR(__xludf.DUMMYFUNCTION("""COMPUTED_VALUE"""),"inactivité 1ère année")</f>
        <v>inactivité 1ère année</v>
      </c>
    </row>
    <row r="119" spans="1:8" ht="12.75">
      <c r="A119" s="46">
        <f ca="1">IFERROR(__xludf.DUMMYFUNCTION("""COMPUTED_VALUE"""),107)</f>
        <v>107</v>
      </c>
      <c r="B119" s="65" t="str">
        <f ca="1">IFERROR(__xludf.DUMMYFUNCTION("""COMPUTED_VALUE"""),"547473")</f>
        <v>547473</v>
      </c>
      <c r="C119" s="48" t="str">
        <f ca="1">IFERROR(__xludf.DUMMYFUNCTION("""COMPUTED_VALUE"""),"COSSENET")</f>
        <v>COSSENET</v>
      </c>
      <c r="D119" s="48" t="str">
        <f ca="1">IFERROR(__xludf.DUMMYFUNCTION("""COMPUTED_VALUE"""),"Yvon")</f>
        <v>Yvon</v>
      </c>
      <c r="E119" s="49" t="str">
        <f ca="1">IFERROR(__xludf.DUMMYFUNCTION("""COMPUTED_VALUE"""),"06540184")</f>
        <v>06540184</v>
      </c>
      <c r="F119" s="48" t="str">
        <f ca="1">IFERROR(__xludf.DUMMYFUNCTION("""COMPUTED_VALUE"""),"BATILLY Tennis de Table")</f>
        <v>BATILLY Tennis de Table</v>
      </c>
      <c r="G119" s="50" t="str">
        <f ca="1">IFERROR(__xludf.DUMMYFUNCTION("""COMPUTED_VALUE"""),"CD54")</f>
        <v>CD54</v>
      </c>
      <c r="H119" s="50" t="str">
        <f ca="1">IFERROR(__xludf.DUMMYFUNCTION("""COMPUTED_VALUE"""),"actif")</f>
        <v>actif</v>
      </c>
    </row>
    <row r="120" spans="1:8" ht="12.75">
      <c r="A120" s="46">
        <f ca="1">IFERROR(__xludf.DUMMYFUNCTION("""COMPUTED_VALUE"""),108)</f>
        <v>108</v>
      </c>
      <c r="B120" s="65" t="str">
        <f ca="1">IFERROR(__xludf.DUMMYFUNCTION("""COMPUTED_VALUE"""),"882872")</f>
        <v>882872</v>
      </c>
      <c r="C120" s="48" t="str">
        <f ca="1">IFERROR(__xludf.DUMMYFUNCTION("""COMPUTED_VALUE"""),"COSSIN")</f>
        <v>COSSIN</v>
      </c>
      <c r="D120" s="48" t="str">
        <f ca="1">IFERROR(__xludf.DUMMYFUNCTION("""COMPUTED_VALUE"""),"Christophe")</f>
        <v>Christophe</v>
      </c>
      <c r="E120" s="49" t="str">
        <f ca="1">IFERROR(__xludf.DUMMYFUNCTION("""COMPUTED_VALUE"""),"06880140")</f>
        <v>06880140</v>
      </c>
      <c r="F120" s="48" t="str">
        <f ca="1">IFERROR(__xludf.DUMMYFUNCTION("""COMPUTED_VALUE"""),"TENNIS DE TABLE THIAVILLE FR")</f>
        <v>TENNIS DE TABLE THIAVILLE FR</v>
      </c>
      <c r="G120" s="50" t="str">
        <f ca="1">IFERROR(__xludf.DUMMYFUNCTION("""COMPUTED_VALUE"""),"CD88")</f>
        <v>CD88</v>
      </c>
      <c r="H120" s="50" t="str">
        <f ca="1">IFERROR(__xludf.DUMMYFUNCTION("""COMPUTED_VALUE"""),"actif")</f>
        <v>actif</v>
      </c>
    </row>
    <row r="121" spans="1:8" ht="12.75">
      <c r="A121" s="46">
        <f ca="1">IFERROR(__xludf.DUMMYFUNCTION("""COMPUTED_VALUE"""),109)</f>
        <v>109</v>
      </c>
      <c r="B121" s="65" t="str">
        <f ca="1">IFERROR(__xludf.DUMMYFUNCTION("""COMPUTED_VALUE"""),"522684")</f>
        <v>522684</v>
      </c>
      <c r="C121" s="48" t="str">
        <f ca="1">IFERROR(__xludf.DUMMYFUNCTION("""COMPUTED_VALUE"""),"COUPAS")</f>
        <v>COUPAS</v>
      </c>
      <c r="D121" s="48" t="str">
        <f ca="1">IFERROR(__xludf.DUMMYFUNCTION("""COMPUTED_VALUE"""),"Alexandre")</f>
        <v>Alexandre</v>
      </c>
      <c r="E121" s="49" t="str">
        <f ca="1">IFERROR(__xludf.DUMMYFUNCTION("""COMPUTED_VALUE"""),"06520047")</f>
        <v>06520047</v>
      </c>
      <c r="F121" s="48" t="str">
        <f ca="1">IFERROR(__xludf.DUMMYFUNCTION("""COMPUTED_VALUE"""),"MONTIGNY LE ROI AJP")</f>
        <v>MONTIGNY LE ROI AJP</v>
      </c>
      <c r="G121" s="50" t="str">
        <f ca="1">IFERROR(__xludf.DUMMYFUNCTION("""COMPUTED_VALUE"""),"CD52")</f>
        <v>CD52</v>
      </c>
      <c r="H121" s="50" t="str">
        <f ca="1">IFERROR(__xludf.DUMMYFUNCTION("""COMPUTED_VALUE"""),"inactivité 2ème année")</f>
        <v>inactivité 2ème année</v>
      </c>
    </row>
    <row r="122" spans="1:8" ht="12.75">
      <c r="A122" s="46">
        <f ca="1">IFERROR(__xludf.DUMMYFUNCTION("""COMPUTED_VALUE"""),110)</f>
        <v>110</v>
      </c>
      <c r="B122" s="65" t="str">
        <f ca="1">IFERROR(__xludf.DUMMYFUNCTION("""COMPUTED_VALUE"""),"8816246")</f>
        <v>8816246</v>
      </c>
      <c r="C122" s="48" t="str">
        <f ca="1">IFERROR(__xludf.DUMMYFUNCTION("""COMPUTED_VALUE"""),"COURRIER")</f>
        <v>COURRIER</v>
      </c>
      <c r="D122" s="48" t="str">
        <f ca="1">IFERROR(__xludf.DUMMYFUNCTION("""COMPUTED_VALUE"""),"Jean-Loup")</f>
        <v>Jean-Loup</v>
      </c>
      <c r="E122" s="49" t="str">
        <f ca="1">IFERROR(__xludf.DUMMYFUNCTION("""COMPUTED_VALUE"""),"06880119")</f>
        <v>06880119</v>
      </c>
      <c r="F122" s="48" t="str">
        <f ca="1">IFERROR(__xludf.DUMMYFUNCTION("""COMPUTED_VALUE"""),"CHARMES-VINCEY T.T.")</f>
        <v>CHARMES-VINCEY T.T.</v>
      </c>
      <c r="G122" s="50" t="str">
        <f ca="1">IFERROR(__xludf.DUMMYFUNCTION("""COMPUTED_VALUE"""),"CD88")</f>
        <v>CD88</v>
      </c>
      <c r="H122" s="50" t="str">
        <f ca="1">IFERROR(__xludf.DUMMYFUNCTION("""COMPUTED_VALUE"""),"inactivité 3ème année")</f>
        <v>inactivité 3ème année</v>
      </c>
    </row>
    <row r="123" spans="1:8" ht="12.75">
      <c r="A123" s="46">
        <f ca="1">IFERROR(__xludf.DUMMYFUNCTION("""COMPUTED_VALUE"""),111)</f>
        <v>111</v>
      </c>
      <c r="B123" s="65" t="str">
        <f ca="1">IFERROR(__xludf.DUMMYFUNCTION("""COMPUTED_VALUE"""),"5430222")</f>
        <v>5430222</v>
      </c>
      <c r="C123" s="48" t="str">
        <f ca="1">IFERROR(__xludf.DUMMYFUNCTION("""COMPUTED_VALUE"""),"CREUSOT")</f>
        <v>CREUSOT</v>
      </c>
      <c r="D123" s="48" t="str">
        <f ca="1">IFERROR(__xludf.DUMMYFUNCTION("""COMPUTED_VALUE"""),"Benjamin")</f>
        <v>Benjamin</v>
      </c>
      <c r="E123" s="49" t="str">
        <f ca="1">IFERROR(__xludf.DUMMYFUNCTION("""COMPUTED_VALUE"""),"06540020")</f>
        <v>06540020</v>
      </c>
      <c r="F123" s="48" t="str">
        <f ca="1">IFERROR(__xludf.DUMMYFUNCTION("""COMPUTED_VALUE"""),"DOMBASLE STT")</f>
        <v>DOMBASLE STT</v>
      </c>
      <c r="G123" s="50" t="str">
        <f ca="1">IFERROR(__xludf.DUMMYFUNCTION("""COMPUTED_VALUE"""),"CD54")</f>
        <v>CD54</v>
      </c>
      <c r="H123" s="50" t="str">
        <f ca="1">IFERROR(__xludf.DUMMYFUNCTION("""COMPUTED_VALUE"""),"actif")</f>
        <v>actif</v>
      </c>
    </row>
    <row r="124" spans="1:8" ht="12.75">
      <c r="A124" s="46">
        <f ca="1">IFERROR(__xludf.DUMMYFUNCTION("""COMPUTED_VALUE"""),112)</f>
        <v>112</v>
      </c>
      <c r="B124" s="65" t="str">
        <f ca="1">IFERROR(__xludf.DUMMYFUNCTION("""COMPUTED_VALUE"""),"54593")</f>
        <v>54593</v>
      </c>
      <c r="C124" s="48" t="str">
        <f ca="1">IFERROR(__xludf.DUMMYFUNCTION("""COMPUTED_VALUE"""),"CROCE")</f>
        <v>CROCE</v>
      </c>
      <c r="D124" s="48" t="str">
        <f ca="1">IFERROR(__xludf.DUMMYFUNCTION("""COMPUTED_VALUE"""),"Catherine")</f>
        <v>Catherine</v>
      </c>
      <c r="E124" s="49" t="str">
        <f ca="1">IFERROR(__xludf.DUMMYFUNCTION("""COMPUTED_VALUE"""),"06540016")</f>
        <v>06540016</v>
      </c>
      <c r="F124" s="48" t="str">
        <f ca="1">IFERROR(__xludf.DUMMYFUNCTION("""COMPUTED_VALUE"""),"LAXOU AMICALE L.EMILE ZOLA")</f>
        <v>LAXOU AMICALE L.EMILE ZOLA</v>
      </c>
      <c r="G124" s="50" t="str">
        <f ca="1">IFERROR(__xludf.DUMMYFUNCTION("""COMPUTED_VALUE"""),"CD54")</f>
        <v>CD54</v>
      </c>
      <c r="H124" s="50" t="str">
        <f ca="1">IFERROR(__xludf.DUMMYFUNCTION("""COMPUTED_VALUE"""),"inactivité 2ème année")</f>
        <v>inactivité 2ème année</v>
      </c>
    </row>
    <row r="125" spans="1:8" ht="12.75">
      <c r="A125" s="46">
        <f ca="1">IFERROR(__xludf.DUMMYFUNCTION("""COMPUTED_VALUE"""),113)</f>
        <v>113</v>
      </c>
      <c r="B125" s="65" t="str">
        <f ca="1">IFERROR(__xludf.DUMMYFUNCTION("""COMPUTED_VALUE"""),"5113696")</f>
        <v>5113696</v>
      </c>
      <c r="C125" s="48" t="str">
        <f ca="1">IFERROR(__xludf.DUMMYFUNCTION("""COMPUTED_VALUE"""),"CRUSSIERE")</f>
        <v>CRUSSIERE</v>
      </c>
      <c r="D125" s="48" t="str">
        <f ca="1">IFERROR(__xludf.DUMMYFUNCTION("""COMPUTED_VALUE"""),"Cleo")</f>
        <v>Cleo</v>
      </c>
      <c r="E125" s="49" t="str">
        <f ca="1">IFERROR(__xludf.DUMMYFUNCTION("""COMPUTED_VALUE"""),"06510020")</f>
        <v>06510020</v>
      </c>
      <c r="F125" s="48" t="str">
        <f ca="1">IFERROR(__xludf.DUMMYFUNCTION("""COMPUTED_VALUE"""),"EPERNAY-PLIVOT PPC")</f>
        <v>EPERNAY-PLIVOT PPC</v>
      </c>
      <c r="G125" s="50" t="str">
        <f ca="1">IFERROR(__xludf.DUMMYFUNCTION("""COMPUTED_VALUE"""),"CD51")</f>
        <v>CD51</v>
      </c>
      <c r="H125" s="50" t="str">
        <f ca="1">IFERROR(__xludf.DUMMYFUNCTION("""COMPUTED_VALUE"""),"actif")</f>
        <v>actif</v>
      </c>
    </row>
    <row r="126" spans="1:8" ht="12.75">
      <c r="A126" s="46">
        <f ca="1">IFERROR(__xludf.DUMMYFUNCTION("""COMPUTED_VALUE"""),114)</f>
        <v>114</v>
      </c>
      <c r="B126" s="65" t="str">
        <f ca="1">IFERROR(__xludf.DUMMYFUNCTION("""COMPUTED_VALUE"""),"524454")</f>
        <v>524454</v>
      </c>
      <c r="C126" s="48" t="str">
        <f ca="1">IFERROR(__xludf.DUMMYFUNCTION("""COMPUTED_VALUE"""),"CUDEL")</f>
        <v>CUDEL</v>
      </c>
      <c r="D126" s="48" t="str">
        <f ca="1">IFERROR(__xludf.DUMMYFUNCTION("""COMPUTED_VALUE"""),"Julien")</f>
        <v>Julien</v>
      </c>
      <c r="E126" s="49" t="str">
        <f ca="1">IFERROR(__xludf.DUMMYFUNCTION("""COMPUTED_VALUE"""),"06520002")</f>
        <v>06520002</v>
      </c>
      <c r="F126" s="48" t="str">
        <f ca="1">IFERROR(__xludf.DUMMYFUNCTION("""COMPUTED_VALUE"""),"CHALINDREY CS")</f>
        <v>CHALINDREY CS</v>
      </c>
      <c r="G126" s="50" t="str">
        <f ca="1">IFERROR(__xludf.DUMMYFUNCTION("""COMPUTED_VALUE"""),"CD52")</f>
        <v>CD52</v>
      </c>
      <c r="H126" s="50" t="str">
        <f ca="1">IFERROR(__xludf.DUMMYFUNCTION("""COMPUTED_VALUE"""),"inactivité 1ère année")</f>
        <v>inactivité 1ère année</v>
      </c>
    </row>
    <row r="127" spans="1:8" ht="12.75">
      <c r="A127" s="46">
        <f ca="1">IFERROR(__xludf.DUMMYFUNCTION("""COMPUTED_VALUE"""),115)</f>
        <v>115</v>
      </c>
      <c r="B127" s="65" t="str">
        <f ca="1">IFERROR(__xludf.DUMMYFUNCTION("""COMPUTED_VALUE"""),"5424872")</f>
        <v>5424872</v>
      </c>
      <c r="C127" s="48" t="str">
        <f ca="1">IFERROR(__xludf.DUMMYFUNCTION("""COMPUTED_VALUE"""),"CUETTE")</f>
        <v>CUETTE</v>
      </c>
      <c r="D127" s="48" t="str">
        <f ca="1">IFERROR(__xludf.DUMMYFUNCTION("""COMPUTED_VALUE"""),"Jean Paul")</f>
        <v>Jean Paul</v>
      </c>
      <c r="E127" s="49" t="str">
        <f ca="1">IFERROR(__xludf.DUMMYFUNCTION("""COMPUTED_VALUE"""),"06540128")</f>
        <v>06540128</v>
      </c>
      <c r="F127" s="48" t="str">
        <f ca="1">IFERROR(__xludf.DUMMYFUNCTION("""COMPUTED_VALUE"""),"PONT A MOUSSON A.S.T.T.")</f>
        <v>PONT A MOUSSON A.S.T.T.</v>
      </c>
      <c r="G127" s="50" t="str">
        <f ca="1">IFERROR(__xludf.DUMMYFUNCTION("""COMPUTED_VALUE"""),"CD54")</f>
        <v>CD54</v>
      </c>
      <c r="H127" s="50" t="str">
        <f ca="1">IFERROR(__xludf.DUMMYFUNCTION("""COMPUTED_VALUE"""),"actif")</f>
        <v>actif</v>
      </c>
    </row>
    <row r="128" spans="1:8" ht="12.75">
      <c r="A128" s="46">
        <f ca="1">IFERROR(__xludf.DUMMYFUNCTION("""COMPUTED_VALUE"""),116)</f>
        <v>116</v>
      </c>
      <c r="B128" s="65" t="str">
        <f ca="1">IFERROR(__xludf.DUMMYFUNCTION("""COMPUTED_VALUE"""),"547324")</f>
        <v>547324</v>
      </c>
      <c r="C128" s="48" t="str">
        <f ca="1">IFERROR(__xludf.DUMMYFUNCTION("""COMPUTED_VALUE"""),"CUNY")</f>
        <v>CUNY</v>
      </c>
      <c r="D128" s="48" t="str">
        <f ca="1">IFERROR(__xludf.DUMMYFUNCTION("""COMPUTED_VALUE"""),"Frederic")</f>
        <v>Frederic</v>
      </c>
      <c r="E128" s="49" t="str">
        <f ca="1">IFERROR(__xludf.DUMMYFUNCTION("""COMPUTED_VALUE"""),"06540040")</f>
        <v>06540040</v>
      </c>
      <c r="F128" s="48" t="str">
        <f ca="1">IFERROR(__xludf.DUMMYFUNCTION("""COMPUTED_VALUE"""),"VILLERS LES NANCY C.O.S.")</f>
        <v>VILLERS LES NANCY C.O.S.</v>
      </c>
      <c r="G128" s="50" t="str">
        <f ca="1">IFERROR(__xludf.DUMMYFUNCTION("""COMPUTED_VALUE"""),"CD54")</f>
        <v>CD54</v>
      </c>
      <c r="H128" s="50" t="str">
        <f ca="1">IFERROR(__xludf.DUMMYFUNCTION("""COMPUTED_VALUE"""),"inactivité 1ère année")</f>
        <v>inactivité 1ère année</v>
      </c>
    </row>
    <row r="129" spans="1:8" ht="12.75">
      <c r="A129" s="46">
        <f ca="1">IFERROR(__xludf.DUMMYFUNCTION("""COMPUTED_VALUE"""),117)</f>
        <v>117</v>
      </c>
      <c r="B129" s="65" t="str">
        <f ca="1">IFERROR(__xludf.DUMMYFUNCTION("""COMPUTED_VALUE"""),"8819614")</f>
        <v>8819614</v>
      </c>
      <c r="C129" s="48" t="str">
        <f ca="1">IFERROR(__xludf.DUMMYFUNCTION("""COMPUTED_VALUE"""),"CUNY")</f>
        <v>CUNY</v>
      </c>
      <c r="D129" s="48" t="str">
        <f ca="1">IFERROR(__xludf.DUMMYFUNCTION("""COMPUTED_VALUE"""),"Quentin")</f>
        <v>Quentin</v>
      </c>
      <c r="E129" s="49" t="str">
        <f ca="1">IFERROR(__xludf.DUMMYFUNCTION("""COMPUTED_VALUE"""),"06880002")</f>
        <v>06880002</v>
      </c>
      <c r="F129" s="48" t="str">
        <f ca="1">IFERROR(__xludf.DUMMYFUNCTION("""COMPUTED_VALUE"""),"ANOULD Cercle Pongiste")</f>
        <v>ANOULD Cercle Pongiste</v>
      </c>
      <c r="G129" s="50" t="str">
        <f ca="1">IFERROR(__xludf.DUMMYFUNCTION("""COMPUTED_VALUE"""),"CD88")</f>
        <v>CD88</v>
      </c>
      <c r="H129" s="50" t="str">
        <f ca="1">IFERROR(__xludf.DUMMYFUNCTION("""COMPUTED_VALUE"""),"inactivité 1ère année")</f>
        <v>inactivité 1ère année</v>
      </c>
    </row>
    <row r="130" spans="1:8" ht="12.75">
      <c r="A130" s="46">
        <f ca="1">IFERROR(__xludf.DUMMYFUNCTION("""COMPUTED_VALUE"""),118)</f>
        <v>118</v>
      </c>
      <c r="B130" s="65" t="str">
        <f ca="1">IFERROR(__xludf.DUMMYFUNCTION("""COMPUTED_VALUE"""),"512854")</f>
        <v>512854</v>
      </c>
      <c r="C130" s="48" t="str">
        <f ca="1">IFERROR(__xludf.DUMMYFUNCTION("""COMPUTED_VALUE"""),"CURATE")</f>
        <v>CURATE</v>
      </c>
      <c r="D130" s="48" t="str">
        <f ca="1">IFERROR(__xludf.DUMMYFUNCTION("""COMPUTED_VALUE"""),"Michael")</f>
        <v>Michael</v>
      </c>
      <c r="E130" s="49" t="str">
        <f ca="1">IFERROR(__xludf.DUMMYFUNCTION("""COMPUTED_VALUE"""),"06510004")</f>
        <v>06510004</v>
      </c>
      <c r="F130" s="48" t="str">
        <f ca="1">IFERROR(__xludf.DUMMYFUNCTION("""COMPUTED_VALUE"""),"CHALONS ASPTT")</f>
        <v>CHALONS ASPTT</v>
      </c>
      <c r="G130" s="50" t="str">
        <f ca="1">IFERROR(__xludf.DUMMYFUNCTION("""COMPUTED_VALUE"""),"CD51")</f>
        <v>CD51</v>
      </c>
      <c r="H130" s="50" t="str">
        <f ca="1">IFERROR(__xludf.DUMMYFUNCTION("""COMPUTED_VALUE"""),"inactivité 1ère année")</f>
        <v>inactivité 1ère année</v>
      </c>
    </row>
    <row r="131" spans="1:8" ht="12.75">
      <c r="A131" s="46">
        <f ca="1">IFERROR(__xludf.DUMMYFUNCTION("""COMPUTED_VALUE"""),119)</f>
        <v>119</v>
      </c>
      <c r="B131" s="65" t="str">
        <f ca="1">IFERROR(__xludf.DUMMYFUNCTION("""COMPUTED_VALUE"""),"571999")</f>
        <v>571999</v>
      </c>
      <c r="C131" s="48" t="str">
        <f ca="1">IFERROR(__xludf.DUMMYFUNCTION("""COMPUTED_VALUE"""),"CUTIN")</f>
        <v>CUTIN</v>
      </c>
      <c r="D131" s="48" t="str">
        <f ca="1">IFERROR(__xludf.DUMMYFUNCTION("""COMPUTED_VALUE"""),"Regis")</f>
        <v>Regis</v>
      </c>
      <c r="E131" s="49" t="str">
        <f ca="1">IFERROR(__xludf.DUMMYFUNCTION("""COMPUTED_VALUE"""),"06540128")</f>
        <v>06540128</v>
      </c>
      <c r="F131" s="48" t="str">
        <f ca="1">IFERROR(__xludf.DUMMYFUNCTION("""COMPUTED_VALUE"""),"PONT A MOUSSON A.S.T.T.")</f>
        <v>PONT A MOUSSON A.S.T.T.</v>
      </c>
      <c r="G131" s="50" t="str">
        <f ca="1">IFERROR(__xludf.DUMMYFUNCTION("""COMPUTED_VALUE"""),"CD54")</f>
        <v>CD54</v>
      </c>
      <c r="H131" s="50" t="str">
        <f ca="1">IFERROR(__xludf.DUMMYFUNCTION("""COMPUTED_VALUE"""),"inactivité 2ème année")</f>
        <v>inactivité 2ème année</v>
      </c>
    </row>
    <row r="132" spans="1:8" ht="12.75">
      <c r="A132" s="46">
        <f ca="1">IFERROR(__xludf.DUMMYFUNCTION("""COMPUTED_VALUE"""),120)</f>
        <v>120</v>
      </c>
      <c r="B132" s="65" t="str">
        <f ca="1">IFERROR(__xludf.DUMMYFUNCTION("""COMPUTED_VALUE"""),"54198")</f>
        <v>54198</v>
      </c>
      <c r="C132" s="48" t="str">
        <f ca="1">IFERROR(__xludf.DUMMYFUNCTION("""COMPUTED_VALUE"""),"D'HIVER")</f>
        <v>D'HIVER</v>
      </c>
      <c r="D132" s="48" t="str">
        <f ca="1">IFERROR(__xludf.DUMMYFUNCTION("""COMPUTED_VALUE"""),"Jean Louis")</f>
        <v>Jean Louis</v>
      </c>
      <c r="E132" s="49" t="str">
        <f ca="1">IFERROR(__xludf.DUMMYFUNCTION("""COMPUTED_VALUE"""),"06540010")</f>
        <v>06540010</v>
      </c>
      <c r="F132" s="48" t="str">
        <f ca="1">IFERROR(__xludf.DUMMYFUNCTION("""COMPUTED_VALUE"""),"FOUG C.P.")</f>
        <v>FOUG C.P.</v>
      </c>
      <c r="G132" s="50" t="str">
        <f ca="1">IFERROR(__xludf.DUMMYFUNCTION("""COMPUTED_VALUE"""),"CD54")</f>
        <v>CD54</v>
      </c>
      <c r="H132" s="50" t="str">
        <f ca="1">IFERROR(__xludf.DUMMYFUNCTION("""COMPUTED_VALUE"""),"inactivité 2ème année")</f>
        <v>inactivité 2ème année</v>
      </c>
    </row>
    <row r="133" spans="1:8" ht="12.75">
      <c r="A133" s="46">
        <f ca="1">IFERROR(__xludf.DUMMYFUNCTION("""COMPUTED_VALUE"""),121)</f>
        <v>121</v>
      </c>
      <c r="B133" s="65" t="str">
        <f ca="1">IFERROR(__xludf.DUMMYFUNCTION("""COMPUTED_VALUE"""),"8811179")</f>
        <v>8811179</v>
      </c>
      <c r="C133" s="48" t="str">
        <f ca="1">IFERROR(__xludf.DUMMYFUNCTION("""COMPUTED_VALUE"""),"DA SILVA")</f>
        <v>DA SILVA</v>
      </c>
      <c r="D133" s="48" t="str">
        <f ca="1">IFERROR(__xludf.DUMMYFUNCTION("""COMPUTED_VALUE"""),"Damien")</f>
        <v>Damien</v>
      </c>
      <c r="E133" s="49" t="str">
        <f ca="1">IFERROR(__xludf.DUMMYFUNCTION("""COMPUTED_VALUE"""),"06880119")</f>
        <v>06880119</v>
      </c>
      <c r="F133" s="48" t="str">
        <f ca="1">IFERROR(__xludf.DUMMYFUNCTION("""COMPUTED_VALUE"""),"CHARMES-VINCEY T.T.")</f>
        <v>CHARMES-VINCEY T.T.</v>
      </c>
      <c r="G133" s="50" t="str">
        <f ca="1">IFERROR(__xludf.DUMMYFUNCTION("""COMPUTED_VALUE"""),"CD88")</f>
        <v>CD88</v>
      </c>
      <c r="H133" s="50" t="str">
        <f ca="1">IFERROR(__xludf.DUMMYFUNCTION("""COMPUTED_VALUE"""),"actif")</f>
        <v>actif</v>
      </c>
    </row>
    <row r="134" spans="1:8" ht="12.75">
      <c r="A134" s="46">
        <f ca="1">IFERROR(__xludf.DUMMYFUNCTION("""COMPUTED_VALUE"""),122)</f>
        <v>122</v>
      </c>
      <c r="B134" s="65" t="str">
        <f ca="1">IFERROR(__xludf.DUMMYFUNCTION("""COMPUTED_VALUE"""),"884323")</f>
        <v>884323</v>
      </c>
      <c r="C134" s="48" t="str">
        <f ca="1">IFERROR(__xludf.DUMMYFUNCTION("""COMPUTED_VALUE"""),"DABONVILLE")</f>
        <v>DABONVILLE</v>
      </c>
      <c r="D134" s="48" t="str">
        <f ca="1">IFERROR(__xludf.DUMMYFUNCTION("""COMPUTED_VALUE"""),"Fabrice")</f>
        <v>Fabrice</v>
      </c>
      <c r="E134" s="49" t="str">
        <f ca="1">IFERROR(__xludf.DUMMYFUNCTION("""COMPUTED_VALUE"""),"06880007")</f>
        <v>06880007</v>
      </c>
      <c r="F134" s="48" t="str">
        <f ca="1">IFERROR(__xludf.DUMMYFUNCTION("""COMPUTED_VALUE"""),"NEUFCHATEAU T.T.")</f>
        <v>NEUFCHATEAU T.T.</v>
      </c>
      <c r="G134" s="50" t="str">
        <f ca="1">IFERROR(__xludf.DUMMYFUNCTION("""COMPUTED_VALUE"""),"CD88")</f>
        <v>CD88</v>
      </c>
      <c r="H134" s="50" t="str">
        <f ca="1">IFERROR(__xludf.DUMMYFUNCTION("""COMPUTED_VALUE"""),"actif")</f>
        <v>actif</v>
      </c>
    </row>
    <row r="135" spans="1:8" ht="12.75">
      <c r="A135" s="46">
        <f ca="1">IFERROR(__xludf.DUMMYFUNCTION("""COMPUTED_VALUE"""),123)</f>
        <v>123</v>
      </c>
      <c r="B135" s="65" t="str">
        <f ca="1">IFERROR(__xludf.DUMMYFUNCTION("""COMPUTED_VALUE"""),"0812613")</f>
        <v>0812613</v>
      </c>
      <c r="C135" s="48" t="str">
        <f ca="1">IFERROR(__xludf.DUMMYFUNCTION("""COMPUTED_VALUE"""),"DAGNICOURT")</f>
        <v>DAGNICOURT</v>
      </c>
      <c r="D135" s="48" t="str">
        <f ca="1">IFERROR(__xludf.DUMMYFUNCTION("""COMPUTED_VALUE"""),"Sacha")</f>
        <v>Sacha</v>
      </c>
      <c r="E135" s="49" t="str">
        <f ca="1">IFERROR(__xludf.DUMMYFUNCTION("""COMPUTED_VALUE"""),"06080035")</f>
        <v>06080035</v>
      </c>
      <c r="F135" s="48" t="str">
        <f ca="1">IFERROR(__xludf.DUMMYFUNCTION("""COMPUTED_VALUE"""),"CHARLEVILLE MEZIERES ARDENNES TT")</f>
        <v>CHARLEVILLE MEZIERES ARDENNES TT</v>
      </c>
      <c r="G135" s="50" t="str">
        <f ca="1">IFERROR(__xludf.DUMMYFUNCTION("""COMPUTED_VALUE"""),"CD08")</f>
        <v>CD08</v>
      </c>
      <c r="H135" s="50" t="str">
        <f ca="1">IFERROR(__xludf.DUMMYFUNCTION("""COMPUTED_VALUE"""),"inactivité 2ème année")</f>
        <v>inactivité 2ème année</v>
      </c>
    </row>
    <row r="136" spans="1:8" ht="12.75">
      <c r="A136" s="46">
        <f ca="1">IFERROR(__xludf.DUMMYFUNCTION("""COMPUTED_VALUE"""),124)</f>
        <v>124</v>
      </c>
      <c r="B136" s="65" t="str">
        <f ca="1">IFERROR(__xludf.DUMMYFUNCTION("""COMPUTED_VALUE"""),"517366")</f>
        <v>517366</v>
      </c>
      <c r="C136" s="48" t="str">
        <f ca="1">IFERROR(__xludf.DUMMYFUNCTION("""COMPUTED_VALUE"""),"DAIN")</f>
        <v>DAIN</v>
      </c>
      <c r="D136" s="48" t="str">
        <f ca="1">IFERROR(__xludf.DUMMYFUNCTION("""COMPUTED_VALUE"""),"Jean Christophe")</f>
        <v>Jean Christophe</v>
      </c>
      <c r="E136" s="49" t="str">
        <f ca="1">IFERROR(__xludf.DUMMYFUNCTION("""COMPUTED_VALUE"""),"06510001")</f>
        <v>06510001</v>
      </c>
      <c r="F136" s="48" t="str">
        <f ca="1">IFERROR(__xludf.DUMMYFUNCTION("""COMPUTED_VALUE"""),"REIMS OLYMPIQUE TT")</f>
        <v>REIMS OLYMPIQUE TT</v>
      </c>
      <c r="G136" s="50" t="str">
        <f ca="1">IFERROR(__xludf.DUMMYFUNCTION("""COMPUTED_VALUE"""),"CD51")</f>
        <v>CD51</v>
      </c>
      <c r="H136" s="50" t="str">
        <f ca="1">IFERROR(__xludf.DUMMYFUNCTION("""COMPUTED_VALUE"""),"inactivité 1ère année")</f>
        <v>inactivité 1ère année</v>
      </c>
    </row>
    <row r="137" spans="1:8" ht="12.75">
      <c r="A137" s="46">
        <f ca="1">IFERROR(__xludf.DUMMYFUNCTION("""COMPUTED_VALUE"""),125)</f>
        <v>125</v>
      </c>
      <c r="B137" s="65" t="str">
        <f ca="1">IFERROR(__xludf.DUMMYFUNCTION("""COMPUTED_VALUE"""),"895271")</f>
        <v>895271</v>
      </c>
      <c r="C137" s="48" t="str">
        <f ca="1">IFERROR(__xludf.DUMMYFUNCTION("""COMPUTED_VALUE"""),"DANTON")</f>
        <v>DANTON</v>
      </c>
      <c r="D137" s="48" t="str">
        <f ca="1">IFERROR(__xludf.DUMMYFUNCTION("""COMPUTED_VALUE"""),"Adrien")</f>
        <v>Adrien</v>
      </c>
      <c r="E137" s="49" t="str">
        <f ca="1">IFERROR(__xludf.DUMMYFUNCTION("""COMPUTED_VALUE"""),"06540193")</f>
        <v>06540193</v>
      </c>
      <c r="F137" s="48" t="str">
        <f ca="1">IFERROR(__xludf.DUMMYFUNCTION("""COMPUTED_VALUE"""),"BACCARAT ABTT")</f>
        <v>BACCARAT ABTT</v>
      </c>
      <c r="G137" s="50" t="str">
        <f ca="1">IFERROR(__xludf.DUMMYFUNCTION("""COMPUTED_VALUE"""),"CD54")</f>
        <v>CD54</v>
      </c>
      <c r="H137" s="50" t="str">
        <f ca="1">IFERROR(__xludf.DUMMYFUNCTION("""COMPUTED_VALUE"""),"inactivité 1ère année")</f>
        <v>inactivité 1ère année</v>
      </c>
    </row>
    <row r="138" spans="1:8" ht="12.75">
      <c r="A138" s="46">
        <f ca="1">IFERROR(__xludf.DUMMYFUNCTION("""COMPUTED_VALUE"""),126)</f>
        <v>126</v>
      </c>
      <c r="B138" s="66" t="str">
        <f ca="1">IFERROR(__xludf.DUMMYFUNCTION("""COMPUTED_VALUE"""),"6726085")</f>
        <v>6726085</v>
      </c>
      <c r="C138" s="67" t="str">
        <f ca="1">IFERROR(__xludf.DUMMYFUNCTION("""COMPUTED_VALUE"""),"DAVID")</f>
        <v>DAVID</v>
      </c>
      <c r="D138" s="68" t="str">
        <f ca="1">IFERROR(__xludf.DUMMYFUNCTION("""COMPUTED_VALUE"""),"Jeremy")</f>
        <v>Jeremy</v>
      </c>
      <c r="E138" s="69" t="str">
        <f ca="1">IFERROR(__xludf.DUMMYFUNCTION("""COMPUTED_VALUE"""),"06670045")</f>
        <v>06670045</v>
      </c>
      <c r="F138" s="68" t="str">
        <f ca="1">IFERROR(__xludf.DUMMYFUNCTION("""COMPUTED_VALUE"""),"STRASBOURG RC")</f>
        <v>STRASBOURG RC</v>
      </c>
      <c r="G138" s="51" t="str">
        <f ca="1">IFERROR(__xludf.DUMMYFUNCTION("""COMPUTED_VALUE"""),"CD67")</f>
        <v>CD67</v>
      </c>
      <c r="H138" s="51" t="str">
        <f ca="1">IFERROR(__xludf.DUMMYFUNCTION("""COMPUTED_VALUE"""),"actif")</f>
        <v>actif</v>
      </c>
    </row>
    <row r="139" spans="1:8" ht="12.75">
      <c r="A139" s="46">
        <f ca="1">IFERROR(__xludf.DUMMYFUNCTION("""COMPUTED_VALUE"""),127)</f>
        <v>127</v>
      </c>
      <c r="B139" s="65" t="str">
        <f ca="1">IFERROR(__xludf.DUMMYFUNCTION("""COMPUTED_VALUE"""),"6813454")</f>
        <v>6813454</v>
      </c>
      <c r="C139" s="48" t="str">
        <f ca="1">IFERROR(__xludf.DUMMYFUNCTION("""COMPUTED_VALUE"""),"DE COATPONT")</f>
        <v>DE COATPONT</v>
      </c>
      <c r="D139" s="48" t="str">
        <f ca="1">IFERROR(__xludf.DUMMYFUNCTION("""COMPUTED_VALUE"""),"Bertrand")</f>
        <v>Bertrand</v>
      </c>
      <c r="E139" s="49" t="str">
        <f ca="1">IFERROR(__xludf.DUMMYFUNCTION("""COMPUTED_VALUE"""),"06680011")</f>
        <v>06680011</v>
      </c>
      <c r="F139" s="48" t="str">
        <f ca="1">IFERROR(__xludf.DUMMYFUNCTION("""COMPUTED_VALUE"""),"RIXHEIM PPA")</f>
        <v>RIXHEIM PPA</v>
      </c>
      <c r="G139" s="50" t="str">
        <f ca="1">IFERROR(__xludf.DUMMYFUNCTION("""COMPUTED_VALUE"""),"CD68")</f>
        <v>CD68</v>
      </c>
      <c r="H139" s="50" t="str">
        <f ca="1">IFERROR(__xludf.DUMMYFUNCTION("""COMPUTED_VALUE"""),"inactivité 1ère année")</f>
        <v>inactivité 1ère année</v>
      </c>
    </row>
    <row r="140" spans="1:8" ht="12.75">
      <c r="A140" s="46">
        <f ca="1">IFERROR(__xludf.DUMMYFUNCTION("""COMPUTED_VALUE"""),128)</f>
        <v>128</v>
      </c>
      <c r="B140" s="65" t="str">
        <f ca="1">IFERROR(__xludf.DUMMYFUNCTION("""COMPUTED_VALUE"""),"104379")</f>
        <v>104379</v>
      </c>
      <c r="C140" s="48" t="str">
        <f ca="1">IFERROR(__xludf.DUMMYFUNCTION("""COMPUTED_VALUE"""),"DECURE")</f>
        <v>DECURE</v>
      </c>
      <c r="D140" s="48" t="str">
        <f ca="1">IFERROR(__xludf.DUMMYFUNCTION("""COMPUTED_VALUE"""),"Jean-Christophe")</f>
        <v>Jean-Christophe</v>
      </c>
      <c r="E140" s="49" t="str">
        <f ca="1">IFERROR(__xludf.DUMMYFUNCTION("""COMPUTED_VALUE"""),"06510020")</f>
        <v>06510020</v>
      </c>
      <c r="F140" s="48" t="str">
        <f ca="1">IFERROR(__xludf.DUMMYFUNCTION("""COMPUTED_VALUE"""),"EPERNAY-PLIVOT PPC")</f>
        <v>EPERNAY-PLIVOT PPC</v>
      </c>
      <c r="G140" s="50" t="str">
        <f ca="1">IFERROR(__xludf.DUMMYFUNCTION("""COMPUTED_VALUE"""),"CD51")</f>
        <v>CD51</v>
      </c>
      <c r="H140" s="50" t="str">
        <f ca="1">IFERROR(__xludf.DUMMYFUNCTION("""COMPUTED_VALUE"""),"inactivité 1ère année")</f>
        <v>inactivité 1ère année</v>
      </c>
    </row>
    <row r="141" spans="1:8" ht="12.75">
      <c r="A141" s="46">
        <f ca="1">IFERROR(__xludf.DUMMYFUNCTION("""COMPUTED_VALUE"""),129)</f>
        <v>129</v>
      </c>
      <c r="B141" s="65" t="str">
        <f ca="1">IFERROR(__xludf.DUMMYFUNCTION("""COMPUTED_VALUE"""),"0812172")</f>
        <v>0812172</v>
      </c>
      <c r="C141" s="48" t="str">
        <f ca="1">IFERROR(__xludf.DUMMYFUNCTION("""COMPUTED_VALUE"""),"DEFAUCHEUX")</f>
        <v>DEFAUCHEUX</v>
      </c>
      <c r="D141" s="48" t="str">
        <f ca="1">IFERROR(__xludf.DUMMYFUNCTION("""COMPUTED_VALUE"""),"Cecile")</f>
        <v>Cecile</v>
      </c>
      <c r="E141" s="49" t="str">
        <f ca="1">IFERROR(__xludf.DUMMYFUNCTION("""COMPUTED_VALUE"""),"06080006")</f>
        <v>06080006</v>
      </c>
      <c r="F141" s="48" t="str">
        <f ca="1">IFERROR(__xludf.DUMMYFUNCTION("""COMPUTED_VALUE"""),"BAZEILLES PPC")</f>
        <v>BAZEILLES PPC</v>
      </c>
      <c r="G141" s="50" t="str">
        <f ca="1">IFERROR(__xludf.DUMMYFUNCTION("""COMPUTED_VALUE"""),"CD08")</f>
        <v>CD08</v>
      </c>
      <c r="H141" s="50" t="str">
        <f ca="1">IFERROR(__xludf.DUMMYFUNCTION("""COMPUTED_VALUE"""),"inactivité 3ème année")</f>
        <v>inactivité 3ème année</v>
      </c>
    </row>
    <row r="142" spans="1:8" ht="12.75">
      <c r="A142" s="46">
        <f ca="1">IFERROR(__xludf.DUMMYFUNCTION("""COMPUTED_VALUE"""),130)</f>
        <v>130</v>
      </c>
      <c r="B142" s="65" t="str">
        <f ca="1">IFERROR(__xludf.DUMMYFUNCTION("""COMPUTED_VALUE"""),"7720192")</f>
        <v>7720192</v>
      </c>
      <c r="C142" s="48" t="str">
        <f ca="1">IFERROR(__xludf.DUMMYFUNCTION("""COMPUTED_VALUE"""),"DEGRET")</f>
        <v>DEGRET</v>
      </c>
      <c r="D142" s="48" t="str">
        <f ca="1">IFERROR(__xludf.DUMMYFUNCTION("""COMPUTED_VALUE"""),"Sebastien")</f>
        <v>Sebastien</v>
      </c>
      <c r="E142" s="49" t="str">
        <f ca="1">IFERROR(__xludf.DUMMYFUNCTION("""COMPUTED_VALUE"""),"06080006")</f>
        <v>06080006</v>
      </c>
      <c r="F142" s="48" t="str">
        <f ca="1">IFERROR(__xludf.DUMMYFUNCTION("""COMPUTED_VALUE"""),"BAZEILLES PPC")</f>
        <v>BAZEILLES PPC</v>
      </c>
      <c r="G142" s="50" t="str">
        <f ca="1">IFERROR(__xludf.DUMMYFUNCTION("""COMPUTED_VALUE"""),"CD08")</f>
        <v>CD08</v>
      </c>
      <c r="H142" s="50" t="str">
        <f ca="1">IFERROR(__xludf.DUMMYFUNCTION("""COMPUTED_VALUE"""),"inactivité 3ème année")</f>
        <v>inactivité 3ème année</v>
      </c>
    </row>
    <row r="143" spans="1:8" ht="12.75">
      <c r="A143" s="46">
        <f ca="1">IFERROR(__xludf.DUMMYFUNCTION("""COMPUTED_VALUE"""),131)</f>
        <v>131</v>
      </c>
      <c r="B143" s="65" t="str">
        <f ca="1">IFERROR(__xludf.DUMMYFUNCTION("""COMPUTED_VALUE"""),"105197")</f>
        <v>105197</v>
      </c>
      <c r="C143" s="48" t="str">
        <f ca="1">IFERROR(__xludf.DUMMYFUNCTION("""COMPUTED_VALUE"""),"DEJONGHE")</f>
        <v>DEJONGHE</v>
      </c>
      <c r="D143" s="48" t="str">
        <f ca="1">IFERROR(__xludf.DUMMYFUNCTION("""COMPUTED_VALUE"""),"Yoann")</f>
        <v>Yoann</v>
      </c>
      <c r="E143" s="49" t="str">
        <f ca="1">IFERROR(__xludf.DUMMYFUNCTION("""COMPUTED_VALUE"""),"06100021")</f>
        <v>06100021</v>
      </c>
      <c r="F143" s="48" t="str">
        <f ca="1">IFERROR(__xludf.DUMMYFUNCTION("""COMPUTED_VALUE"""),"ARCIS ASATT")</f>
        <v>ARCIS ASATT</v>
      </c>
      <c r="G143" s="50" t="str">
        <f ca="1">IFERROR(__xludf.DUMMYFUNCTION("""COMPUTED_VALUE"""),"CD10")</f>
        <v>CD10</v>
      </c>
      <c r="H143" s="50" t="str">
        <f ca="1">IFERROR(__xludf.DUMMYFUNCTION("""COMPUTED_VALUE"""),"inactivité 1ère année")</f>
        <v>inactivité 1ère année</v>
      </c>
    </row>
    <row r="144" spans="1:8" ht="12.75">
      <c r="A144" s="46">
        <f ca="1">IFERROR(__xludf.DUMMYFUNCTION("""COMPUTED_VALUE"""),132)</f>
        <v>132</v>
      </c>
      <c r="B144" s="65" t="str">
        <f ca="1">IFERROR(__xludf.DUMMYFUNCTION("""COMPUTED_VALUE"""),"8816398")</f>
        <v>8816398</v>
      </c>
      <c r="C144" s="48" t="str">
        <f ca="1">IFERROR(__xludf.DUMMYFUNCTION("""COMPUTED_VALUE"""),"DELEPINE")</f>
        <v>DELEPINE</v>
      </c>
      <c r="D144" s="48" t="str">
        <f ca="1">IFERROR(__xludf.DUMMYFUNCTION("""COMPUTED_VALUE"""),"Marc")</f>
        <v>Marc</v>
      </c>
      <c r="E144" s="49" t="str">
        <f ca="1">IFERROR(__xludf.DUMMYFUNCTION("""COMPUTED_VALUE"""),"06880051")</f>
        <v>06880051</v>
      </c>
      <c r="F144" s="48" t="str">
        <f ca="1">IFERROR(__xludf.DUMMYFUNCTION("""COMPUTED_VALUE"""),"Raquette Golbéenne")</f>
        <v>Raquette Golbéenne</v>
      </c>
      <c r="G144" s="50" t="str">
        <f ca="1">IFERROR(__xludf.DUMMYFUNCTION("""COMPUTED_VALUE"""),"CD88")</f>
        <v>CD88</v>
      </c>
      <c r="H144" s="50" t="str">
        <f ca="1">IFERROR(__xludf.DUMMYFUNCTION("""COMPUTED_VALUE"""),"inactivité 3ème année")</f>
        <v>inactivité 3ème année</v>
      </c>
    </row>
    <row r="145" spans="1:8" ht="12.75">
      <c r="A145" s="46">
        <f ca="1">IFERROR(__xludf.DUMMYFUNCTION("""COMPUTED_VALUE"""),133)</f>
        <v>133</v>
      </c>
      <c r="B145" s="65" t="str">
        <f ca="1">IFERROR(__xludf.DUMMYFUNCTION("""COMPUTED_VALUE"""),"555104")</f>
        <v>555104</v>
      </c>
      <c r="C145" s="48" t="str">
        <f ca="1">IFERROR(__xludf.DUMMYFUNCTION("""COMPUTED_VALUE"""),"DELHAISE")</f>
        <v>DELHAISE</v>
      </c>
      <c r="D145" s="48" t="str">
        <f ca="1">IFERROR(__xludf.DUMMYFUNCTION("""COMPUTED_VALUE"""),"Bruno")</f>
        <v>Bruno</v>
      </c>
      <c r="E145" s="49" t="str">
        <f ca="1">IFERROR(__xludf.DUMMYFUNCTION("""COMPUTED_VALUE"""),"06550003")</f>
        <v>06550003</v>
      </c>
      <c r="F145" s="48" t="str">
        <f ca="1">IFERROR(__xludf.DUMMYFUNCTION("""COMPUTED_VALUE"""),"COMMERCY P.P.C.")</f>
        <v>COMMERCY P.P.C.</v>
      </c>
      <c r="G145" s="50" t="str">
        <f ca="1">IFERROR(__xludf.DUMMYFUNCTION("""COMPUTED_VALUE"""),"CD55")</f>
        <v>CD55</v>
      </c>
      <c r="H145" s="50" t="str">
        <f ca="1">IFERROR(__xludf.DUMMYFUNCTION("""COMPUTED_VALUE"""),"actif")</f>
        <v>actif</v>
      </c>
    </row>
    <row r="146" spans="1:8" ht="12.75">
      <c r="A146" s="46">
        <f ca="1">IFERROR(__xludf.DUMMYFUNCTION("""COMPUTED_VALUE"""),134)</f>
        <v>134</v>
      </c>
      <c r="B146" s="65" t="str">
        <f ca="1">IFERROR(__xludf.DUMMYFUNCTION("""COMPUTED_VALUE"""),"103305")</f>
        <v>103305</v>
      </c>
      <c r="C146" s="48" t="str">
        <f ca="1">IFERROR(__xludf.DUMMYFUNCTION("""COMPUTED_VALUE"""),"DELPAS")</f>
        <v>DELPAS</v>
      </c>
      <c r="D146" s="48" t="str">
        <f ca="1">IFERROR(__xludf.DUMMYFUNCTION("""COMPUTED_VALUE"""),"Bruno")</f>
        <v>Bruno</v>
      </c>
      <c r="E146" s="49" t="str">
        <f ca="1">IFERROR(__xludf.DUMMYFUNCTION("""COMPUTED_VALUE"""),"06100048")</f>
        <v>06100048</v>
      </c>
      <c r="F146" s="48" t="str">
        <f ca="1">IFERROR(__xludf.DUMMYFUNCTION("""COMPUTED_VALUE"""),"BAR SUR AUBE Tennis de Table")</f>
        <v>BAR SUR AUBE Tennis de Table</v>
      </c>
      <c r="G146" s="50" t="str">
        <f ca="1">IFERROR(__xludf.DUMMYFUNCTION("""COMPUTED_VALUE"""),"CD10")</f>
        <v>CD10</v>
      </c>
      <c r="H146" s="50" t="str">
        <f ca="1">IFERROR(__xludf.DUMMYFUNCTION("""COMPUTED_VALUE"""),"inactivité 3ème année")</f>
        <v>inactivité 3ème année</v>
      </c>
    </row>
    <row r="147" spans="1:8" ht="12.75">
      <c r="A147" s="46">
        <f ca="1">IFERROR(__xludf.DUMMYFUNCTION("""COMPUTED_VALUE"""),135)</f>
        <v>135</v>
      </c>
      <c r="B147" s="65" t="str">
        <f ca="1">IFERROR(__xludf.DUMMYFUNCTION("""COMPUTED_VALUE"""),"086179")</f>
        <v>086179</v>
      </c>
      <c r="C147" s="48" t="str">
        <f ca="1">IFERROR(__xludf.DUMMYFUNCTION("""COMPUTED_VALUE"""),"DEMART")</f>
        <v>DEMART</v>
      </c>
      <c r="D147" s="48" t="str">
        <f ca="1">IFERROR(__xludf.DUMMYFUNCTION("""COMPUTED_VALUE"""),"Cyril")</f>
        <v>Cyril</v>
      </c>
      <c r="E147" s="49" t="str">
        <f ca="1">IFERROR(__xludf.DUMMYFUNCTION("""COMPUTED_VALUE"""),"06080035")</f>
        <v>06080035</v>
      </c>
      <c r="F147" s="48" t="str">
        <f ca="1">IFERROR(__xludf.DUMMYFUNCTION("""COMPUTED_VALUE"""),"CHARLEVILLE MEZIERES ARDENNES TT")</f>
        <v>CHARLEVILLE MEZIERES ARDENNES TT</v>
      </c>
      <c r="G147" s="50" t="str">
        <f ca="1">IFERROR(__xludf.DUMMYFUNCTION("""COMPUTED_VALUE"""),"CD08")</f>
        <v>CD08</v>
      </c>
      <c r="H147" s="50" t="str">
        <f ca="1">IFERROR(__xludf.DUMMYFUNCTION("""COMPUTED_VALUE"""),"actif")</f>
        <v>actif</v>
      </c>
    </row>
    <row r="148" spans="1:8" ht="12.75">
      <c r="A148" s="46">
        <f ca="1">IFERROR(__xludf.DUMMYFUNCTION("""COMPUTED_VALUE"""),136)</f>
        <v>136</v>
      </c>
      <c r="B148" s="65" t="str">
        <f ca="1">IFERROR(__xludf.DUMMYFUNCTION("""COMPUTED_VALUE"""),"5713705")</f>
        <v>5713705</v>
      </c>
      <c r="C148" s="48" t="str">
        <f ca="1">IFERROR(__xludf.DUMMYFUNCTION("""COMPUTED_VALUE"""),"DEMOGEOT")</f>
        <v>DEMOGEOT</v>
      </c>
      <c r="D148" s="48" t="str">
        <f ca="1">IFERROR(__xludf.DUMMYFUNCTION("""COMPUTED_VALUE"""),"Benoit")</f>
        <v>Benoit</v>
      </c>
      <c r="E148" s="49" t="str">
        <f ca="1">IFERROR(__xludf.DUMMYFUNCTION("""COMPUTED_VALUE"""),"06570060")</f>
        <v>06570060</v>
      </c>
      <c r="F148" s="48" t="str">
        <f ca="1">IFERROR(__xludf.DUMMYFUNCTION("""COMPUTED_VALUE"""),"MORSBACH Sarre et Moselle ASTT")</f>
        <v>MORSBACH Sarre et Moselle ASTT</v>
      </c>
      <c r="G148" s="50" t="str">
        <f ca="1">IFERROR(__xludf.DUMMYFUNCTION("""COMPUTED_VALUE"""),"CD57")</f>
        <v>CD57</v>
      </c>
      <c r="H148" s="50" t="str">
        <f ca="1">IFERROR(__xludf.DUMMYFUNCTION("""COMPUTED_VALUE"""),"actif")</f>
        <v>actif</v>
      </c>
    </row>
    <row r="149" spans="1:8" ht="12.75">
      <c r="A149" s="46">
        <f ca="1">IFERROR(__xludf.DUMMYFUNCTION("""COMPUTED_VALUE"""),137)</f>
        <v>137</v>
      </c>
      <c r="B149" s="65" t="str">
        <f ca="1">IFERROR(__xludf.DUMMYFUNCTION("""COMPUTED_VALUE"""),"52562")</f>
        <v>52562</v>
      </c>
      <c r="C149" s="48" t="str">
        <f ca="1">IFERROR(__xludf.DUMMYFUNCTION("""COMPUTED_VALUE"""),"DEMOUSTIER")</f>
        <v>DEMOUSTIER</v>
      </c>
      <c r="D149" s="48" t="str">
        <f ca="1">IFERROR(__xludf.DUMMYFUNCTION("""COMPUTED_VALUE"""),"David")</f>
        <v>David</v>
      </c>
      <c r="E149" s="49" t="str">
        <f ca="1">IFERROR(__xludf.DUMMYFUNCTION("""COMPUTED_VALUE"""),"06520004")</f>
        <v>06520004</v>
      </c>
      <c r="F149" s="48" t="str">
        <f ca="1">IFERROR(__xludf.DUMMYFUNCTION("""COMPUTED_VALUE"""),"CHANCENAY-SLO TT")</f>
        <v>CHANCENAY-SLO TT</v>
      </c>
      <c r="G149" s="50" t="str">
        <f ca="1">IFERROR(__xludf.DUMMYFUNCTION("""COMPUTED_VALUE"""),"CD52")</f>
        <v>CD52</v>
      </c>
      <c r="H149" s="50" t="str">
        <f ca="1">IFERROR(__xludf.DUMMYFUNCTION("""COMPUTED_VALUE"""),"inactivité 1ère année")</f>
        <v>inactivité 1ère année</v>
      </c>
    </row>
    <row r="150" spans="1:8" ht="12.75">
      <c r="A150" s="46">
        <f ca="1">IFERROR(__xludf.DUMMYFUNCTION("""COMPUTED_VALUE"""),138)</f>
        <v>138</v>
      </c>
      <c r="B150" s="65" t="str">
        <f ca="1">IFERROR(__xludf.DUMMYFUNCTION("""COMPUTED_VALUE"""),"6814723")</f>
        <v>6814723</v>
      </c>
      <c r="C150" s="48" t="str">
        <f ca="1">IFERROR(__xludf.DUMMYFUNCTION("""COMPUTED_VALUE"""),"DENIER")</f>
        <v>DENIER</v>
      </c>
      <c r="D150" s="48" t="str">
        <f ca="1">IFERROR(__xludf.DUMMYFUNCTION("""COMPUTED_VALUE"""),"Corentin")</f>
        <v>Corentin</v>
      </c>
      <c r="E150" s="49" t="str">
        <f ca="1">IFERROR(__xludf.DUMMYFUNCTION("""COMPUTED_VALUE"""),"06680128")</f>
        <v>06680128</v>
      </c>
      <c r="F150" s="48" t="str">
        <f ca="1">IFERROR(__xludf.DUMMYFUNCTION("""COMPUTED_VALUE"""),"BERGHEIM CSS")</f>
        <v>BERGHEIM CSS</v>
      </c>
      <c r="G150" s="50" t="str">
        <f ca="1">IFERROR(__xludf.DUMMYFUNCTION("""COMPUTED_VALUE"""),"CD68")</f>
        <v>CD68</v>
      </c>
      <c r="H150" s="50" t="str">
        <f ca="1">IFERROR(__xludf.DUMMYFUNCTION("""COMPUTED_VALUE"""),"actif")</f>
        <v>actif</v>
      </c>
    </row>
    <row r="151" spans="1:8" ht="12.75">
      <c r="A151" s="46">
        <f ca="1">IFERROR(__xludf.DUMMYFUNCTION("""COMPUTED_VALUE"""),139)</f>
        <v>139</v>
      </c>
      <c r="B151" s="65" t="str">
        <f ca="1">IFERROR(__xludf.DUMMYFUNCTION("""COMPUTED_VALUE"""),"5427786")</f>
        <v>5427786</v>
      </c>
      <c r="C151" s="48" t="str">
        <f ca="1">IFERROR(__xludf.DUMMYFUNCTION("""COMPUTED_VALUE"""),"DENNEULIN")</f>
        <v>DENNEULIN</v>
      </c>
      <c r="D151" s="48" t="str">
        <f ca="1">IFERROR(__xludf.DUMMYFUNCTION("""COMPUTED_VALUE"""),"Geoffrey")</f>
        <v>Geoffrey</v>
      </c>
      <c r="E151" s="49" t="str">
        <f ca="1">IFERROR(__xludf.DUMMYFUNCTION("""COMPUTED_VALUE"""),"06540198")</f>
        <v>06540198</v>
      </c>
      <c r="F151" s="48" t="str">
        <f ca="1">IFERROR(__xludf.DUMMYFUNCTION("""COMPUTED_VALUE"""),"VANDOEUVRE ASTT")</f>
        <v>VANDOEUVRE ASTT</v>
      </c>
      <c r="G151" s="50" t="str">
        <f ca="1">IFERROR(__xludf.DUMMYFUNCTION("""COMPUTED_VALUE"""),"CD54")</f>
        <v>CD54</v>
      </c>
      <c r="H151" s="50" t="str">
        <f ca="1">IFERROR(__xludf.DUMMYFUNCTION("""COMPUTED_VALUE"""),"actif")</f>
        <v>actif</v>
      </c>
    </row>
    <row r="152" spans="1:8" ht="12.75">
      <c r="A152" s="46">
        <f ca="1">IFERROR(__xludf.DUMMYFUNCTION("""COMPUTED_VALUE"""),140)</f>
        <v>140</v>
      </c>
      <c r="B152" s="65" t="str">
        <f ca="1">IFERROR(__xludf.DUMMYFUNCTION("""COMPUTED_VALUE"""),"5417956")</f>
        <v>5417956</v>
      </c>
      <c r="C152" s="48" t="str">
        <f ca="1">IFERROR(__xludf.DUMMYFUNCTION("""COMPUTED_VALUE"""),"DEPARDIEU")</f>
        <v>DEPARDIEU</v>
      </c>
      <c r="D152" s="48" t="str">
        <f ca="1">IFERROR(__xludf.DUMMYFUNCTION("""COMPUTED_VALUE"""),"Jean Marie")</f>
        <v>Jean Marie</v>
      </c>
      <c r="E152" s="49" t="str">
        <f ca="1">IFERROR(__xludf.DUMMYFUNCTION("""COMPUTED_VALUE"""),"06540198")</f>
        <v>06540198</v>
      </c>
      <c r="F152" s="48" t="str">
        <f ca="1">IFERROR(__xludf.DUMMYFUNCTION("""COMPUTED_VALUE"""),"VANDOEUVRE ASTT")</f>
        <v>VANDOEUVRE ASTT</v>
      </c>
      <c r="G152" s="50" t="str">
        <f ca="1">IFERROR(__xludf.DUMMYFUNCTION("""COMPUTED_VALUE"""),"CD54")</f>
        <v>CD54</v>
      </c>
      <c r="H152" s="50" t="str">
        <f ca="1">IFERROR(__xludf.DUMMYFUNCTION("""COMPUTED_VALUE"""),"actif")</f>
        <v>actif</v>
      </c>
    </row>
    <row r="153" spans="1:8" ht="12.75">
      <c r="A153" s="46">
        <f ca="1">IFERROR(__xludf.DUMMYFUNCTION("""COMPUTED_VALUE"""),141)</f>
        <v>141</v>
      </c>
      <c r="B153" s="65" t="str">
        <f ca="1">IFERROR(__xludf.DUMMYFUNCTION("""COMPUTED_VALUE"""),"8812726")</f>
        <v>8812726</v>
      </c>
      <c r="C153" s="48" t="str">
        <f ca="1">IFERROR(__xludf.DUMMYFUNCTION("""COMPUTED_VALUE"""),"DEPP")</f>
        <v>DEPP</v>
      </c>
      <c r="D153" s="48" t="str">
        <f ca="1">IFERROR(__xludf.DUMMYFUNCTION("""COMPUTED_VALUE"""),"Jean Luc")</f>
        <v>Jean Luc</v>
      </c>
      <c r="E153" s="49" t="str">
        <f ca="1">IFERROR(__xludf.DUMMYFUNCTION("""COMPUTED_VALUE"""),"06880123")</f>
        <v>06880123</v>
      </c>
      <c r="F153" s="48" t="str">
        <f ca="1">IFERROR(__xludf.DUMMYFUNCTION("""COMPUTED_VALUE"""),"ETIVAL ASRTT")</f>
        <v>ETIVAL ASRTT</v>
      </c>
      <c r="G153" s="50" t="str">
        <f ca="1">IFERROR(__xludf.DUMMYFUNCTION("""COMPUTED_VALUE"""),"CD88")</f>
        <v>CD88</v>
      </c>
      <c r="H153" s="50" t="str">
        <f ca="1">IFERROR(__xludf.DUMMYFUNCTION("""COMPUTED_VALUE"""),"actif")</f>
        <v>actif</v>
      </c>
    </row>
    <row r="154" spans="1:8" ht="12.75">
      <c r="A154" s="46">
        <f ca="1">IFERROR(__xludf.DUMMYFUNCTION("""COMPUTED_VALUE"""),142)</f>
        <v>142</v>
      </c>
      <c r="B154" s="65" t="str">
        <f ca="1">IFERROR(__xludf.DUMMYFUNCTION("""COMPUTED_VALUE"""),"521425")</f>
        <v>521425</v>
      </c>
      <c r="C154" s="48" t="str">
        <f ca="1">IFERROR(__xludf.DUMMYFUNCTION("""COMPUTED_VALUE"""),"DEPRE")</f>
        <v>DEPRE</v>
      </c>
      <c r="D154" s="48" t="str">
        <f ca="1">IFERROR(__xludf.DUMMYFUNCTION("""COMPUTED_VALUE"""),"Yann")</f>
        <v>Yann</v>
      </c>
      <c r="E154" s="49" t="str">
        <f ca="1">IFERROR(__xludf.DUMMYFUNCTION("""COMPUTED_VALUE"""),"06520047")</f>
        <v>06520047</v>
      </c>
      <c r="F154" s="48" t="str">
        <f ca="1">IFERROR(__xludf.DUMMYFUNCTION("""COMPUTED_VALUE"""),"MONTIGNY LE ROI AJP")</f>
        <v>MONTIGNY LE ROI AJP</v>
      </c>
      <c r="G154" s="50" t="str">
        <f ca="1">IFERROR(__xludf.DUMMYFUNCTION("""COMPUTED_VALUE"""),"CD52")</f>
        <v>CD52</v>
      </c>
      <c r="H154" s="50" t="str">
        <f ca="1">IFERROR(__xludf.DUMMYFUNCTION("""COMPUTED_VALUE"""),"actif")</f>
        <v>actif</v>
      </c>
    </row>
    <row r="155" spans="1:8" ht="12.75">
      <c r="A155" s="46">
        <f ca="1">IFERROR(__xludf.DUMMYFUNCTION("""COMPUTED_VALUE"""),143)</f>
        <v>143</v>
      </c>
      <c r="B155" s="65" t="str">
        <f ca="1">IFERROR(__xludf.DUMMYFUNCTION("""COMPUTED_VALUE"""),"105784")</f>
        <v>105784</v>
      </c>
      <c r="C155" s="48" t="str">
        <f ca="1">IFERROR(__xludf.DUMMYFUNCTION("""COMPUTED_VALUE"""),"DEPREZ")</f>
        <v>DEPREZ</v>
      </c>
      <c r="D155" s="48" t="str">
        <f ca="1">IFERROR(__xludf.DUMMYFUNCTION("""COMPUTED_VALUE"""),"Gael")</f>
        <v>Gael</v>
      </c>
      <c r="E155" s="49" t="str">
        <f ca="1">IFERROR(__xludf.DUMMYFUNCTION("""COMPUTED_VALUE"""),"06570027")</f>
        <v>06570027</v>
      </c>
      <c r="F155" s="48" t="str">
        <f ca="1">IFERROR(__xludf.DUMMYFUNCTION("""COMPUTED_VALUE"""),"FORBACH U.S.T.T.")</f>
        <v>FORBACH U.S.T.T.</v>
      </c>
      <c r="G155" s="50" t="str">
        <f ca="1">IFERROR(__xludf.DUMMYFUNCTION("""COMPUTED_VALUE"""),"CD57")</f>
        <v>CD57</v>
      </c>
      <c r="H155" s="50" t="str">
        <f ca="1">IFERROR(__xludf.DUMMYFUNCTION("""COMPUTED_VALUE"""),"inactivité 2ème année")</f>
        <v>inactivité 2ème année</v>
      </c>
    </row>
    <row r="156" spans="1:8" ht="12.75">
      <c r="A156" s="46">
        <f ca="1">IFERROR(__xludf.DUMMYFUNCTION("""COMPUTED_VALUE"""),144)</f>
        <v>144</v>
      </c>
      <c r="B156" s="65" t="str">
        <f ca="1">IFERROR(__xludf.DUMMYFUNCTION("""COMPUTED_VALUE"""),"5418342")</f>
        <v>5418342</v>
      </c>
      <c r="C156" s="48" t="str">
        <f ca="1">IFERROR(__xludf.DUMMYFUNCTION("""COMPUTED_VALUE"""),"DERAY")</f>
        <v>DERAY</v>
      </c>
      <c r="D156" s="48" t="str">
        <f ca="1">IFERROR(__xludf.DUMMYFUNCTION("""COMPUTED_VALUE"""),"Vincent")</f>
        <v>Vincent</v>
      </c>
      <c r="E156" s="49" t="str">
        <f ca="1">IFERROR(__xludf.DUMMYFUNCTION("""COMPUTED_VALUE"""),"06540011")</f>
        <v>06540011</v>
      </c>
      <c r="F156" s="48" t="str">
        <f ca="1">IFERROR(__xludf.DUMMYFUNCTION("""COMPUTED_VALUE"""),"Frouard O.F.P.")</f>
        <v>Frouard O.F.P.</v>
      </c>
      <c r="G156" s="50" t="str">
        <f ca="1">IFERROR(__xludf.DUMMYFUNCTION("""COMPUTED_VALUE"""),"CD54")</f>
        <v>CD54</v>
      </c>
      <c r="H156" s="50" t="str">
        <f ca="1">IFERROR(__xludf.DUMMYFUNCTION("""COMPUTED_VALUE"""),"actif")</f>
        <v>actif</v>
      </c>
    </row>
    <row r="157" spans="1:8" ht="12.75">
      <c r="A157" s="46">
        <f ca="1">IFERROR(__xludf.DUMMYFUNCTION("""COMPUTED_VALUE"""),145)</f>
        <v>145</v>
      </c>
      <c r="B157" s="65" t="str">
        <f ca="1">IFERROR(__xludf.DUMMYFUNCTION("""COMPUTED_VALUE"""),"106215")</f>
        <v>106215</v>
      </c>
      <c r="C157" s="48" t="str">
        <f ca="1">IFERROR(__xludf.DUMMYFUNCTION("""COMPUTED_VALUE"""),"DESCAMPS")</f>
        <v>DESCAMPS</v>
      </c>
      <c r="D157" s="48" t="str">
        <f ca="1">IFERROR(__xludf.DUMMYFUNCTION("""COMPUTED_VALUE"""),"Julia")</f>
        <v>Julia</v>
      </c>
      <c r="E157" s="49" t="str">
        <f ca="1">IFERROR(__xludf.DUMMYFUNCTION("""COMPUTED_VALUE"""),"06100002")</f>
        <v>06100002</v>
      </c>
      <c r="F157" s="48" t="str">
        <f ca="1">IFERROR(__xludf.DUMMYFUNCTION("""COMPUTED_VALUE"""),"TROYES O.S - NOËS TT")</f>
        <v>TROYES O.S - NOËS TT</v>
      </c>
      <c r="G157" s="50" t="str">
        <f ca="1">IFERROR(__xludf.DUMMYFUNCTION("""COMPUTED_VALUE"""),"CD10")</f>
        <v>CD10</v>
      </c>
      <c r="H157" s="50" t="str">
        <f ca="1">IFERROR(__xludf.DUMMYFUNCTION("""COMPUTED_VALUE"""),"inactivité 1ère année")</f>
        <v>inactivité 1ère année</v>
      </c>
    </row>
    <row r="158" spans="1:8" ht="12.75">
      <c r="A158" s="46">
        <f ca="1">IFERROR(__xludf.DUMMYFUNCTION("""COMPUTED_VALUE"""),146)</f>
        <v>146</v>
      </c>
      <c r="B158" s="65" t="str">
        <f ca="1">IFERROR(__xludf.DUMMYFUNCTION("""COMPUTED_VALUE"""),"107265")</f>
        <v>107265</v>
      </c>
      <c r="C158" s="48" t="str">
        <f ca="1">IFERROR(__xludf.DUMMYFUNCTION("""COMPUTED_VALUE"""),"DEVILLIERS")</f>
        <v>DEVILLIERS</v>
      </c>
      <c r="D158" s="48" t="str">
        <f ca="1">IFERROR(__xludf.DUMMYFUNCTION("""COMPUTED_VALUE"""),"Julie")</f>
        <v>Julie</v>
      </c>
      <c r="E158" s="49" t="str">
        <f ca="1">IFERROR(__xludf.DUMMYFUNCTION("""COMPUTED_VALUE"""),"06100015")</f>
        <v>06100015</v>
      </c>
      <c r="F158" s="48" t="str">
        <f ca="1">IFERROR(__xludf.DUMMYFUNCTION("""COMPUTED_VALUE"""),"TROYES JEUNE GARDE")</f>
        <v>TROYES JEUNE GARDE</v>
      </c>
      <c r="G158" s="50" t="str">
        <f ca="1">IFERROR(__xludf.DUMMYFUNCTION("""COMPUTED_VALUE"""),"CD10")</f>
        <v>CD10</v>
      </c>
      <c r="H158" s="50" t="str">
        <f ca="1">IFERROR(__xludf.DUMMYFUNCTION("""COMPUTED_VALUE"""),"inactivité 3ème année")</f>
        <v>inactivité 3ème année</v>
      </c>
    </row>
    <row r="159" spans="1:8" ht="12.75">
      <c r="A159" s="46">
        <f ca="1">IFERROR(__xludf.DUMMYFUNCTION("""COMPUTED_VALUE"""),147)</f>
        <v>147</v>
      </c>
      <c r="B159" s="65" t="str">
        <f ca="1">IFERROR(__xludf.DUMMYFUNCTION("""COMPUTED_VALUE"""),"6815322")</f>
        <v>6815322</v>
      </c>
      <c r="C159" s="48" t="str">
        <f ca="1">IFERROR(__xludf.DUMMYFUNCTION("""COMPUTED_VALUE"""),"DIAS")</f>
        <v>DIAS</v>
      </c>
      <c r="D159" s="48" t="str">
        <f ca="1">IFERROR(__xludf.DUMMYFUNCTION("""COMPUTED_VALUE"""),"Sacha")</f>
        <v>Sacha</v>
      </c>
      <c r="E159" s="49" t="str">
        <f ca="1">IFERROR(__xludf.DUMMYFUNCTION("""COMPUTED_VALUE"""),"06680091")</f>
        <v>06680091</v>
      </c>
      <c r="F159" s="48" t="str">
        <f ca="1">IFERROR(__xludf.DUMMYFUNCTION("""COMPUTED_VALUE"""),"ILLZACH TTSJB")</f>
        <v>ILLZACH TTSJB</v>
      </c>
      <c r="G159" s="50" t="str">
        <f ca="1">IFERROR(__xludf.DUMMYFUNCTION("""COMPUTED_VALUE"""),"CD68")</f>
        <v>CD68</v>
      </c>
      <c r="H159" s="50" t="str">
        <f ca="1">IFERROR(__xludf.DUMMYFUNCTION("""COMPUTED_VALUE"""),"actif")</f>
        <v>actif</v>
      </c>
    </row>
    <row r="160" spans="1:8" ht="12.75">
      <c r="A160" s="46">
        <f ca="1">IFERROR(__xludf.DUMMYFUNCTION("""COMPUTED_VALUE"""),148)</f>
        <v>148</v>
      </c>
      <c r="B160" s="65" t="str">
        <f ca="1">IFERROR(__xludf.DUMMYFUNCTION("""COMPUTED_VALUE"""),"889045")</f>
        <v>889045</v>
      </c>
      <c r="C160" s="48" t="str">
        <f ca="1">IFERROR(__xludf.DUMMYFUNCTION("""COMPUTED_VALUE"""),"DIEZ")</f>
        <v>DIEZ</v>
      </c>
      <c r="D160" s="48" t="str">
        <f ca="1">IFERROR(__xludf.DUMMYFUNCTION("""COMPUTED_VALUE"""),"Matthieu")</f>
        <v>Matthieu</v>
      </c>
      <c r="E160" s="49" t="str">
        <f ca="1">IFERROR(__xludf.DUMMYFUNCTION("""COMPUTED_VALUE"""),"06880022")</f>
        <v>06880022</v>
      </c>
      <c r="F160" s="48" t="str">
        <f ca="1">IFERROR(__xludf.DUMMYFUNCTION("""COMPUTED_VALUE"""),"VITTEL SAINT REMY TT")</f>
        <v>VITTEL SAINT REMY TT</v>
      </c>
      <c r="G160" s="50" t="str">
        <f ca="1">IFERROR(__xludf.DUMMYFUNCTION("""COMPUTED_VALUE"""),"CD88")</f>
        <v>CD88</v>
      </c>
      <c r="H160" s="50" t="str">
        <f ca="1">IFERROR(__xludf.DUMMYFUNCTION("""COMPUTED_VALUE"""),"inactivité 3ème année")</f>
        <v>inactivité 3ème année</v>
      </c>
    </row>
    <row r="161" spans="1:8" ht="12.75">
      <c r="A161" s="46">
        <f ca="1">IFERROR(__xludf.DUMMYFUNCTION("""COMPUTED_VALUE"""),149)</f>
        <v>149</v>
      </c>
      <c r="B161" s="65" t="str">
        <f ca="1">IFERROR(__xludf.DUMMYFUNCTION("""COMPUTED_VALUE"""),"8811272")</f>
        <v>8811272</v>
      </c>
      <c r="C161" s="48" t="str">
        <f ca="1">IFERROR(__xludf.DUMMYFUNCTION("""COMPUTED_VALUE"""),"DISTEFANO")</f>
        <v>DISTEFANO</v>
      </c>
      <c r="D161" s="48" t="str">
        <f ca="1">IFERROR(__xludf.DUMMYFUNCTION("""COMPUTED_VALUE"""),"Bruno")</f>
        <v>Bruno</v>
      </c>
      <c r="E161" s="49" t="str">
        <f ca="1">IFERROR(__xludf.DUMMYFUNCTION("""COMPUTED_VALUE"""),"06880064")</f>
        <v>06880064</v>
      </c>
      <c r="F161" s="48" t="str">
        <f ca="1">IFERROR(__xludf.DUMMYFUNCTION("""COMPUTED_VALUE"""),"TT des Ballons des Hautes Vosges")</f>
        <v>TT des Ballons des Hautes Vosges</v>
      </c>
      <c r="G161" s="50" t="str">
        <f ca="1">IFERROR(__xludf.DUMMYFUNCTION("""COMPUTED_VALUE"""),"CD88")</f>
        <v>CD88</v>
      </c>
      <c r="H161" s="50" t="str">
        <f ca="1">IFERROR(__xludf.DUMMYFUNCTION("""COMPUTED_VALUE"""),"inactivité 1ère année")</f>
        <v>inactivité 1ère année</v>
      </c>
    </row>
    <row r="162" spans="1:8" ht="12.75">
      <c r="A162" s="46">
        <f ca="1">IFERROR(__xludf.DUMMYFUNCTION("""COMPUTED_VALUE"""),150)</f>
        <v>150</v>
      </c>
      <c r="B162" s="65" t="str">
        <f ca="1">IFERROR(__xludf.DUMMYFUNCTION("""COMPUTED_VALUE"""),"884797")</f>
        <v>884797</v>
      </c>
      <c r="C162" s="48" t="str">
        <f ca="1">IFERROR(__xludf.DUMMYFUNCTION("""COMPUTED_VALUE"""),"DOMBRAT")</f>
        <v>DOMBRAT</v>
      </c>
      <c r="D162" s="48" t="str">
        <f ca="1">IFERROR(__xludf.DUMMYFUNCTION("""COMPUTED_VALUE"""),"Jerome")</f>
        <v>Jerome</v>
      </c>
      <c r="E162" s="49" t="str">
        <f ca="1">IFERROR(__xludf.DUMMYFUNCTION("""COMPUTED_VALUE"""),"06880010")</f>
        <v>06880010</v>
      </c>
      <c r="F162" s="48" t="str">
        <f ca="1">IFERROR(__xludf.DUMMYFUNCTION("""COMPUTED_VALUE"""),"SAINT DIE SRDTT")</f>
        <v>SAINT DIE SRDTT</v>
      </c>
      <c r="G162" s="50" t="str">
        <f ca="1">IFERROR(__xludf.DUMMYFUNCTION("""COMPUTED_VALUE"""),"CD88")</f>
        <v>CD88</v>
      </c>
      <c r="H162" s="50" t="str">
        <f ca="1">IFERROR(__xludf.DUMMYFUNCTION("""COMPUTED_VALUE"""),"actif")</f>
        <v>actif</v>
      </c>
    </row>
    <row r="163" spans="1:8" ht="12.75">
      <c r="A163" s="46">
        <f ca="1">IFERROR(__xludf.DUMMYFUNCTION("""COMPUTED_VALUE"""),151)</f>
        <v>151</v>
      </c>
      <c r="B163" s="65" t="str">
        <f ca="1">IFERROR(__xludf.DUMMYFUNCTION("""COMPUTED_VALUE"""),"087580")</f>
        <v>087580</v>
      </c>
      <c r="C163" s="48" t="str">
        <f ca="1">IFERROR(__xludf.DUMMYFUNCTION("""COMPUTED_VALUE"""),"DOMINE")</f>
        <v>DOMINE</v>
      </c>
      <c r="D163" s="48" t="str">
        <f ca="1">IFERROR(__xludf.DUMMYFUNCTION("""COMPUTED_VALUE"""),"Stephane")</f>
        <v>Stephane</v>
      </c>
      <c r="E163" s="49" t="str">
        <f ca="1">IFERROR(__xludf.DUMMYFUNCTION("""COMPUTED_VALUE"""),"06080043")</f>
        <v>06080043</v>
      </c>
      <c r="F163" s="48" t="str">
        <f ca="1">IFERROR(__xludf.DUMMYFUNCTION("""COMPUTED_VALUE"""),"ETREPIGNY TT")</f>
        <v>ETREPIGNY TT</v>
      </c>
      <c r="G163" s="50" t="str">
        <f ca="1">IFERROR(__xludf.DUMMYFUNCTION("""COMPUTED_VALUE"""),"CD08")</f>
        <v>CD08</v>
      </c>
      <c r="H163" s="50" t="str">
        <f ca="1">IFERROR(__xludf.DUMMYFUNCTION("""COMPUTED_VALUE"""),"inactivité 1ère année")</f>
        <v>inactivité 1ère année</v>
      </c>
    </row>
    <row r="164" spans="1:8" ht="12.75">
      <c r="A164" s="46">
        <f ca="1">IFERROR(__xludf.DUMMYFUNCTION("""COMPUTED_VALUE"""),152)</f>
        <v>152</v>
      </c>
      <c r="B164" s="65" t="str">
        <f ca="1">IFERROR(__xludf.DUMMYFUNCTION("""COMPUTED_VALUE"""),"0810735")</f>
        <v>0810735</v>
      </c>
      <c r="C164" s="48" t="str">
        <f ca="1">IFERROR(__xludf.DUMMYFUNCTION("""COMPUTED_VALUE"""),"DOMINE")</f>
        <v>DOMINE</v>
      </c>
      <c r="D164" s="48" t="str">
        <f ca="1">IFERROR(__xludf.DUMMYFUNCTION("""COMPUTED_VALUE"""),"Robin")</f>
        <v>Robin</v>
      </c>
      <c r="E164" s="49" t="str">
        <f ca="1">IFERROR(__xludf.DUMMYFUNCTION("""COMPUTED_VALUE"""),"06080043")</f>
        <v>06080043</v>
      </c>
      <c r="F164" s="48" t="str">
        <f ca="1">IFERROR(__xludf.DUMMYFUNCTION("""COMPUTED_VALUE"""),"ETREPIGNY TT")</f>
        <v>ETREPIGNY TT</v>
      </c>
      <c r="G164" s="50" t="str">
        <f ca="1">IFERROR(__xludf.DUMMYFUNCTION("""COMPUTED_VALUE"""),"CD08")</f>
        <v>CD08</v>
      </c>
      <c r="H164" s="50" t="str">
        <f ca="1">IFERROR(__xludf.DUMMYFUNCTION("""COMPUTED_VALUE"""),"inactivité 1ère année")</f>
        <v>inactivité 1ère année</v>
      </c>
    </row>
    <row r="165" spans="1:8" ht="12.75">
      <c r="A165" s="46">
        <f ca="1">IFERROR(__xludf.DUMMYFUNCTION("""COMPUTED_VALUE"""),153)</f>
        <v>153</v>
      </c>
      <c r="B165" s="65" t="str">
        <f ca="1">IFERROR(__xludf.DUMMYFUNCTION("""COMPUTED_VALUE"""),"5429031")</f>
        <v>5429031</v>
      </c>
      <c r="C165" s="48" t="str">
        <f ca="1">IFERROR(__xludf.DUMMYFUNCTION("""COMPUTED_VALUE"""),"DONET")</f>
        <v>DONET</v>
      </c>
      <c r="D165" s="48" t="str">
        <f ca="1">IFERROR(__xludf.DUMMYFUNCTION("""COMPUTED_VALUE"""),"Amaury")</f>
        <v>Amaury</v>
      </c>
      <c r="E165" s="49" t="str">
        <f ca="1">IFERROR(__xludf.DUMMYFUNCTION("""COMPUTED_VALUE"""),"06540032")</f>
        <v>06540032</v>
      </c>
      <c r="F165" s="48" t="str">
        <f ca="1">IFERROR(__xludf.DUMMYFUNCTION("""COMPUTED_VALUE"""),"NEUVES MAISONS TT")</f>
        <v>NEUVES MAISONS TT</v>
      </c>
      <c r="G165" s="50" t="str">
        <f ca="1">IFERROR(__xludf.DUMMYFUNCTION("""COMPUTED_VALUE"""),"CD54")</f>
        <v>CD54</v>
      </c>
      <c r="H165" s="50" t="str">
        <f ca="1">IFERROR(__xludf.DUMMYFUNCTION("""COMPUTED_VALUE"""),"actif")</f>
        <v>actif</v>
      </c>
    </row>
    <row r="166" spans="1:8" ht="12.75">
      <c r="A166" s="46">
        <f ca="1">IFERROR(__xludf.DUMMYFUNCTION("""COMPUTED_VALUE"""),154)</f>
        <v>154</v>
      </c>
      <c r="B166" s="65" t="str">
        <f ca="1">IFERROR(__xludf.DUMMYFUNCTION("""COMPUTED_VALUE"""),"557854")</f>
        <v>557854</v>
      </c>
      <c r="C166" s="48" t="str">
        <f ca="1">IFERROR(__xludf.DUMMYFUNCTION("""COMPUTED_VALUE"""),"DONOT")</f>
        <v>DONOT</v>
      </c>
      <c r="D166" s="48" t="str">
        <f ca="1">IFERROR(__xludf.DUMMYFUNCTION("""COMPUTED_VALUE"""),"Arsene")</f>
        <v>Arsene</v>
      </c>
      <c r="E166" s="49" t="str">
        <f ca="1">IFERROR(__xludf.DUMMYFUNCTION("""COMPUTED_VALUE"""),"06550052")</f>
        <v>06550052</v>
      </c>
      <c r="F166" s="48" t="str">
        <f ca="1">IFERROR(__xludf.DUMMYFUNCTION("""COMPUTED_VALUE"""),"LIGNY EN BARROIS T.T.")</f>
        <v>LIGNY EN BARROIS T.T.</v>
      </c>
      <c r="G166" s="50" t="str">
        <f ca="1">IFERROR(__xludf.DUMMYFUNCTION("""COMPUTED_VALUE"""),"CD55")</f>
        <v>CD55</v>
      </c>
      <c r="H166" s="50" t="str">
        <f ca="1">IFERROR(__xludf.DUMMYFUNCTION("""COMPUTED_VALUE"""),"inactivité 3ème année")</f>
        <v>inactivité 3ème année</v>
      </c>
    </row>
    <row r="167" spans="1:8" ht="12.75">
      <c r="A167" s="46">
        <f ca="1">IFERROR(__xludf.DUMMYFUNCTION("""COMPUTED_VALUE"""),155)</f>
        <v>155</v>
      </c>
      <c r="B167" s="65" t="str">
        <f ca="1">IFERROR(__xludf.DUMMYFUNCTION("""COMPUTED_VALUE"""),"0812892")</f>
        <v>0812892</v>
      </c>
      <c r="C167" s="48" t="str">
        <f ca="1">IFERROR(__xludf.DUMMYFUNCTION("""COMPUTED_VALUE"""),"DOS SANTOS")</f>
        <v>DOS SANTOS</v>
      </c>
      <c r="D167" s="48" t="str">
        <f ca="1">IFERROR(__xludf.DUMMYFUNCTION("""COMPUTED_VALUE"""),"Noah")</f>
        <v>Noah</v>
      </c>
      <c r="E167" s="49" t="str">
        <f ca="1">IFERROR(__xludf.DUMMYFUNCTION("""COMPUTED_VALUE"""),"06080035")</f>
        <v>06080035</v>
      </c>
      <c r="F167" s="48" t="str">
        <f ca="1">IFERROR(__xludf.DUMMYFUNCTION("""COMPUTED_VALUE"""),"CHARLEVILLE MEZIERES ARDENNES TT")</f>
        <v>CHARLEVILLE MEZIERES ARDENNES TT</v>
      </c>
      <c r="G167" s="50" t="str">
        <f ca="1">IFERROR(__xludf.DUMMYFUNCTION("""COMPUTED_VALUE"""),"CD08")</f>
        <v>CD08</v>
      </c>
      <c r="H167" s="50" t="str">
        <f ca="1">IFERROR(__xludf.DUMMYFUNCTION("""COMPUTED_VALUE"""),"inactivité 2ème année")</f>
        <v>inactivité 2ème année</v>
      </c>
    </row>
    <row r="168" spans="1:8" ht="12.75">
      <c r="A168" s="46">
        <f ca="1">IFERROR(__xludf.DUMMYFUNCTION("""COMPUTED_VALUE"""),156)</f>
        <v>156</v>
      </c>
      <c r="B168" s="65" t="str">
        <f ca="1">IFERROR(__xludf.DUMMYFUNCTION("""COMPUTED_VALUE"""),"525339")</f>
        <v>525339</v>
      </c>
      <c r="C168" s="48" t="str">
        <f ca="1">IFERROR(__xludf.DUMMYFUNCTION("""COMPUTED_VALUE"""),"DOURSOUT")</f>
        <v>DOURSOUT</v>
      </c>
      <c r="D168" s="48" t="str">
        <f ca="1">IFERROR(__xludf.DUMMYFUNCTION("""COMPUTED_VALUE"""),"Valerie")</f>
        <v>Valerie</v>
      </c>
      <c r="E168" s="49" t="str">
        <f ca="1">IFERROR(__xludf.DUMMYFUNCTION("""COMPUTED_VALUE"""),"06520022")</f>
        <v>06520022</v>
      </c>
      <c r="F168" s="48" t="str">
        <f ca="1">IFERROR(__xludf.DUMMYFUNCTION("""COMPUTED_VALUE"""),"CHAUMONT ECAC")</f>
        <v>CHAUMONT ECAC</v>
      </c>
      <c r="G168" s="50" t="str">
        <f ca="1">IFERROR(__xludf.DUMMYFUNCTION("""COMPUTED_VALUE"""),"CD52")</f>
        <v>CD52</v>
      </c>
      <c r="H168" s="50" t="str">
        <f ca="1">IFERROR(__xludf.DUMMYFUNCTION("""COMPUTED_VALUE"""),"actif")</f>
        <v>actif</v>
      </c>
    </row>
    <row r="169" spans="1:8" ht="12.75">
      <c r="A169" s="46">
        <f ca="1">IFERROR(__xludf.DUMMYFUNCTION("""COMPUTED_VALUE"""),157)</f>
        <v>157</v>
      </c>
      <c r="B169" s="65" t="str">
        <f ca="1">IFERROR(__xludf.DUMMYFUNCTION("""COMPUTED_VALUE"""),"8814414")</f>
        <v>8814414</v>
      </c>
      <c r="C169" s="48" t="str">
        <f ca="1">IFERROR(__xludf.DUMMYFUNCTION("""COMPUTED_VALUE"""),"DUBOIS")</f>
        <v>DUBOIS</v>
      </c>
      <c r="D169" s="48" t="str">
        <f ca="1">IFERROR(__xludf.DUMMYFUNCTION("""COMPUTED_VALUE"""),"Chantal")</f>
        <v>Chantal</v>
      </c>
      <c r="E169" s="49" t="str">
        <f ca="1">IFERROR(__xludf.DUMMYFUNCTION("""COMPUTED_VALUE"""),"06880049")</f>
        <v>06880049</v>
      </c>
      <c r="F169" s="48" t="str">
        <f ca="1">IFERROR(__xludf.DUMMYFUNCTION("""COMPUTED_VALUE"""),"MIRECOURT Lift Club")</f>
        <v>MIRECOURT Lift Club</v>
      </c>
      <c r="G169" s="50" t="str">
        <f ca="1">IFERROR(__xludf.DUMMYFUNCTION("""COMPUTED_VALUE"""),"CD88")</f>
        <v>CD88</v>
      </c>
      <c r="H169" s="50" t="str">
        <f ca="1">IFERROR(__xludf.DUMMYFUNCTION("""COMPUTED_VALUE"""),"actif")</f>
        <v>actif</v>
      </c>
    </row>
    <row r="170" spans="1:8" ht="12.75">
      <c r="A170" s="46">
        <f ca="1">IFERROR(__xludf.DUMMYFUNCTION("""COMPUTED_VALUE"""),158)</f>
        <v>158</v>
      </c>
      <c r="B170" s="70" t="str">
        <f ca="1">IFERROR(__xludf.DUMMYFUNCTION("""COMPUTED_VALUE"""),"517428")</f>
        <v>517428</v>
      </c>
      <c r="C170" s="71" t="str">
        <f ca="1">IFERROR(__xludf.DUMMYFUNCTION("""COMPUTED_VALUE"""),"DUBOIS")</f>
        <v>DUBOIS</v>
      </c>
      <c r="D170" s="72" t="str">
        <f ca="1">IFERROR(__xludf.DUMMYFUNCTION("""COMPUTED_VALUE"""),"Stephane")</f>
        <v>Stephane</v>
      </c>
      <c r="E170" s="73" t="str">
        <f ca="1">IFERROR(__xludf.DUMMYFUNCTION("""COMPUTED_VALUE"""),"06510020")</f>
        <v>06510020</v>
      </c>
      <c r="F170" s="72" t="str">
        <f ca="1">IFERROR(__xludf.DUMMYFUNCTION("""COMPUTED_VALUE"""),"EPERNAY-PLIVOT PPC")</f>
        <v>EPERNAY-PLIVOT PPC</v>
      </c>
      <c r="G170" s="52" t="str">
        <f ca="1">IFERROR(__xludf.DUMMYFUNCTION("""COMPUTED_VALUE"""),"CD51")</f>
        <v>CD51</v>
      </c>
      <c r="H170" s="52" t="str">
        <f ca="1">IFERROR(__xludf.DUMMYFUNCTION("""COMPUTED_VALUE"""),"inactivité 3ème année")</f>
        <v>inactivité 3ème année</v>
      </c>
    </row>
    <row r="171" spans="1:8" ht="12.75">
      <c r="A171" s="46">
        <f ca="1">IFERROR(__xludf.DUMMYFUNCTION("""COMPUTED_VALUE"""),159)</f>
        <v>159</v>
      </c>
      <c r="B171" s="65" t="str">
        <f ca="1">IFERROR(__xludf.DUMMYFUNCTION("""COMPUTED_VALUE"""),"102254")</f>
        <v>102254</v>
      </c>
      <c r="C171" s="48" t="str">
        <f ca="1">IFERROR(__xludf.DUMMYFUNCTION("""COMPUTED_VALUE"""),"DUFLEXIS")</f>
        <v>DUFLEXIS</v>
      </c>
      <c r="D171" s="48" t="str">
        <f ca="1">IFERROR(__xludf.DUMMYFUNCTION("""COMPUTED_VALUE"""),"Arnaud")</f>
        <v>Arnaud</v>
      </c>
      <c r="E171" s="49" t="str">
        <f ca="1">IFERROR(__xludf.DUMMYFUNCTION("""COMPUTED_VALUE"""),"06100015")</f>
        <v>06100015</v>
      </c>
      <c r="F171" s="48" t="str">
        <f ca="1">IFERROR(__xludf.DUMMYFUNCTION("""COMPUTED_VALUE"""),"TROYES JEUNE GARDE")</f>
        <v>TROYES JEUNE GARDE</v>
      </c>
      <c r="G171" s="50" t="str">
        <f ca="1">IFERROR(__xludf.DUMMYFUNCTION("""COMPUTED_VALUE"""),"CD10")</f>
        <v>CD10</v>
      </c>
      <c r="H171" s="50" t="str">
        <f ca="1">IFERROR(__xludf.DUMMYFUNCTION("""COMPUTED_VALUE"""),"inactivité 3ème année")</f>
        <v>inactivité 3ème année</v>
      </c>
    </row>
    <row r="172" spans="1:8" ht="12.75">
      <c r="A172" s="46">
        <f ca="1">IFERROR(__xludf.DUMMYFUNCTION("""COMPUTED_VALUE"""),160)</f>
        <v>160</v>
      </c>
      <c r="B172" s="65" t="str">
        <f ca="1">IFERROR(__xludf.DUMMYFUNCTION("""COMPUTED_VALUE"""),"0812984")</f>
        <v>0812984</v>
      </c>
      <c r="C172" s="48" t="str">
        <f ca="1">IFERROR(__xludf.DUMMYFUNCTION("""COMPUTED_VALUE"""),"DUPLAYE")</f>
        <v>DUPLAYE</v>
      </c>
      <c r="D172" s="48" t="str">
        <f ca="1">IFERROR(__xludf.DUMMYFUNCTION("""COMPUTED_VALUE"""),"Lilouan")</f>
        <v>Lilouan</v>
      </c>
      <c r="E172" s="49" t="str">
        <f ca="1">IFERROR(__xludf.DUMMYFUNCTION("""COMPUTED_VALUE"""),"06080035")</f>
        <v>06080035</v>
      </c>
      <c r="F172" s="48" t="str">
        <f ca="1">IFERROR(__xludf.DUMMYFUNCTION("""COMPUTED_VALUE"""),"CHARLEVILLE MEZIERES ARDENNES TT")</f>
        <v>CHARLEVILLE MEZIERES ARDENNES TT</v>
      </c>
      <c r="G172" s="50" t="str">
        <f ca="1">IFERROR(__xludf.DUMMYFUNCTION("""COMPUTED_VALUE"""),"CD08")</f>
        <v>CD08</v>
      </c>
      <c r="H172" s="50" t="str">
        <f ca="1">IFERROR(__xludf.DUMMYFUNCTION("""COMPUTED_VALUE"""),"actif")</f>
        <v>actif</v>
      </c>
    </row>
    <row r="173" spans="1:8" ht="12.75">
      <c r="A173" s="46">
        <f ca="1">IFERROR(__xludf.DUMMYFUNCTION("""COMPUTED_VALUE"""),161)</f>
        <v>161</v>
      </c>
      <c r="B173" s="65" t="str">
        <f ca="1">IFERROR(__xludf.DUMMYFUNCTION("""COMPUTED_VALUE"""),"0812983")</f>
        <v>0812983</v>
      </c>
      <c r="C173" s="48" t="str">
        <f ca="1">IFERROR(__xludf.DUMMYFUNCTION("""COMPUTED_VALUE"""),"DUPLAYE")</f>
        <v>DUPLAYE</v>
      </c>
      <c r="D173" s="48" t="str">
        <f ca="1">IFERROR(__xludf.DUMMYFUNCTION("""COMPUTED_VALUE"""),"Brice")</f>
        <v>Brice</v>
      </c>
      <c r="E173" s="49" t="str">
        <f ca="1">IFERROR(__xludf.DUMMYFUNCTION("""COMPUTED_VALUE"""),"06080035")</f>
        <v>06080035</v>
      </c>
      <c r="F173" s="48" t="str">
        <f ca="1">IFERROR(__xludf.DUMMYFUNCTION("""COMPUTED_VALUE"""),"CHARLEVILLE MEZIERES ARDENNES TT")</f>
        <v>CHARLEVILLE MEZIERES ARDENNES TT</v>
      </c>
      <c r="G173" s="50" t="str">
        <f ca="1">IFERROR(__xludf.DUMMYFUNCTION("""COMPUTED_VALUE"""),"CD08")</f>
        <v>CD08</v>
      </c>
      <c r="H173" s="50" t="str">
        <f ca="1">IFERROR(__xludf.DUMMYFUNCTION("""COMPUTED_VALUE"""),"actif")</f>
        <v>actif</v>
      </c>
    </row>
    <row r="174" spans="1:8" ht="12.75">
      <c r="A174" s="46">
        <f ca="1">IFERROR(__xludf.DUMMYFUNCTION("""COMPUTED_VALUE"""),162)</f>
        <v>162</v>
      </c>
      <c r="B174" s="65" t="str">
        <f ca="1">IFERROR(__xludf.DUMMYFUNCTION("""COMPUTED_VALUE"""),"086920")</f>
        <v>086920</v>
      </c>
      <c r="C174" s="48" t="str">
        <f ca="1">IFERROR(__xludf.DUMMYFUNCTION("""COMPUTED_VALUE"""),"DUPONT")</f>
        <v>DUPONT</v>
      </c>
      <c r="D174" s="48" t="str">
        <f ca="1">IFERROR(__xludf.DUMMYFUNCTION("""COMPUTED_VALUE"""),"Julien")</f>
        <v>Julien</v>
      </c>
      <c r="E174" s="49" t="str">
        <f ca="1">IFERROR(__xludf.DUMMYFUNCTION("""COMPUTED_VALUE"""),"06080047")</f>
        <v>06080047</v>
      </c>
      <c r="F174" s="48" t="str">
        <f ca="1">IFERROR(__xludf.DUMMYFUNCTION("""COMPUTED_VALUE"""),"MONTCY NOTRE DAME PPC")</f>
        <v>MONTCY NOTRE DAME PPC</v>
      </c>
      <c r="G174" s="50" t="str">
        <f ca="1">IFERROR(__xludf.DUMMYFUNCTION("""COMPUTED_VALUE"""),"CD08")</f>
        <v>CD08</v>
      </c>
      <c r="H174" s="50" t="str">
        <f ca="1">IFERROR(__xludf.DUMMYFUNCTION("""COMPUTED_VALUE"""),"inactivité 1ère année")</f>
        <v>inactivité 1ère année</v>
      </c>
    </row>
    <row r="175" spans="1:8" ht="12.75">
      <c r="A175" s="46">
        <f ca="1">IFERROR(__xludf.DUMMYFUNCTION("""COMPUTED_VALUE"""),163)</f>
        <v>163</v>
      </c>
      <c r="B175" s="65" t="str">
        <f ca="1">IFERROR(__xludf.DUMMYFUNCTION("""COMPUTED_VALUE"""),"088846")</f>
        <v>088846</v>
      </c>
      <c r="C175" s="48" t="str">
        <f ca="1">IFERROR(__xludf.DUMMYFUNCTION("""COMPUTED_VALUE"""),"DUPONT")</f>
        <v>DUPONT</v>
      </c>
      <c r="D175" s="48" t="str">
        <f ca="1">IFERROR(__xludf.DUMMYFUNCTION("""COMPUTED_VALUE"""),"Theo")</f>
        <v>Theo</v>
      </c>
      <c r="E175" s="49" t="str">
        <f ca="1">IFERROR(__xludf.DUMMYFUNCTION("""COMPUTED_VALUE"""),"06080043")</f>
        <v>06080043</v>
      </c>
      <c r="F175" s="48" t="str">
        <f ca="1">IFERROR(__xludf.DUMMYFUNCTION("""COMPUTED_VALUE"""),"ETREPIGNY TT")</f>
        <v>ETREPIGNY TT</v>
      </c>
      <c r="G175" s="50" t="str">
        <f ca="1">IFERROR(__xludf.DUMMYFUNCTION("""COMPUTED_VALUE"""),"CD08")</f>
        <v>CD08</v>
      </c>
      <c r="H175" s="50" t="str">
        <f ca="1">IFERROR(__xludf.DUMMYFUNCTION("""COMPUTED_VALUE"""),"inactivité 3ème année")</f>
        <v>inactivité 3ème année</v>
      </c>
    </row>
    <row r="176" spans="1:8" ht="12.75">
      <c r="A176" s="46">
        <f ca="1">IFERROR(__xludf.DUMMYFUNCTION("""COMPUTED_VALUE"""),164)</f>
        <v>164</v>
      </c>
      <c r="B176" s="65" t="str">
        <f ca="1">IFERROR(__xludf.DUMMYFUNCTION("""COMPUTED_VALUE"""),"8816646")</f>
        <v>8816646</v>
      </c>
      <c r="C176" s="48" t="str">
        <f ca="1">IFERROR(__xludf.DUMMYFUNCTION("""COMPUTED_VALUE"""),"DURAND")</f>
        <v>DURAND</v>
      </c>
      <c r="D176" s="48" t="str">
        <f ca="1">IFERROR(__xludf.DUMMYFUNCTION("""COMPUTED_VALUE"""),"Laurent")</f>
        <v>Laurent</v>
      </c>
      <c r="E176" s="49" t="str">
        <f ca="1">IFERROR(__xludf.DUMMYFUNCTION("""COMPUTED_VALUE"""),"06880002")</f>
        <v>06880002</v>
      </c>
      <c r="F176" s="48" t="str">
        <f ca="1">IFERROR(__xludf.DUMMYFUNCTION("""COMPUTED_VALUE"""),"ANOULD Cercle Pongiste")</f>
        <v>ANOULD Cercle Pongiste</v>
      </c>
      <c r="G176" s="50" t="str">
        <f ca="1">IFERROR(__xludf.DUMMYFUNCTION("""COMPUTED_VALUE"""),"CD88")</f>
        <v>CD88</v>
      </c>
      <c r="H176" s="50" t="str">
        <f ca="1">IFERROR(__xludf.DUMMYFUNCTION("""COMPUTED_VALUE"""),"actif")</f>
        <v>actif</v>
      </c>
    </row>
    <row r="177" spans="1:8" ht="12.75">
      <c r="A177" s="46">
        <f ca="1">IFERROR(__xludf.DUMMYFUNCTION("""COMPUTED_VALUE"""),165)</f>
        <v>165</v>
      </c>
      <c r="B177" s="65" t="str">
        <f ca="1">IFERROR(__xludf.DUMMYFUNCTION("""COMPUTED_VALUE"""),"5429762")</f>
        <v>5429762</v>
      </c>
      <c r="C177" s="48" t="str">
        <f ca="1">IFERROR(__xludf.DUMMYFUNCTION("""COMPUTED_VALUE"""),"DURGET")</f>
        <v>DURGET</v>
      </c>
      <c r="D177" s="48" t="str">
        <f ca="1">IFERROR(__xludf.DUMMYFUNCTION("""COMPUTED_VALUE"""),"Mathys")</f>
        <v>Mathys</v>
      </c>
      <c r="E177" s="49" t="str">
        <f ca="1">IFERROR(__xludf.DUMMYFUNCTION("""COMPUTED_VALUE"""),"06540032")</f>
        <v>06540032</v>
      </c>
      <c r="F177" s="48" t="str">
        <f ca="1">IFERROR(__xludf.DUMMYFUNCTION("""COMPUTED_VALUE"""),"NEUVES MAISONS TT")</f>
        <v>NEUVES MAISONS TT</v>
      </c>
      <c r="G177" s="50" t="str">
        <f ca="1">IFERROR(__xludf.DUMMYFUNCTION("""COMPUTED_VALUE"""),"CD54")</f>
        <v>CD54</v>
      </c>
      <c r="H177" s="50" t="str">
        <f ca="1">IFERROR(__xludf.DUMMYFUNCTION("""COMPUTED_VALUE"""),"actif")</f>
        <v>actif</v>
      </c>
    </row>
    <row r="178" spans="1:8" ht="12.75">
      <c r="A178" s="46">
        <f ca="1">IFERROR(__xludf.DUMMYFUNCTION("""COMPUTED_VALUE"""),166)</f>
        <v>166</v>
      </c>
      <c r="B178" s="65" t="str">
        <f ca="1">IFERROR(__xludf.DUMMYFUNCTION("""COMPUTED_VALUE"""),"518050")</f>
        <v>518050</v>
      </c>
      <c r="C178" s="48" t="str">
        <f ca="1">IFERROR(__xludf.DUMMYFUNCTION("""COMPUTED_VALUE"""),"ECKSTEIN")</f>
        <v>ECKSTEIN</v>
      </c>
      <c r="D178" s="48" t="str">
        <f ca="1">IFERROR(__xludf.DUMMYFUNCTION("""COMPUTED_VALUE"""),"Stephane")</f>
        <v>Stephane</v>
      </c>
      <c r="E178" s="49" t="str">
        <f ca="1">IFERROR(__xludf.DUMMYFUNCTION("""COMPUTED_VALUE"""),"06510020")</f>
        <v>06510020</v>
      </c>
      <c r="F178" s="48" t="str">
        <f ca="1">IFERROR(__xludf.DUMMYFUNCTION("""COMPUTED_VALUE"""),"EPERNAY-PLIVOT PPC")</f>
        <v>EPERNAY-PLIVOT PPC</v>
      </c>
      <c r="G178" s="50" t="str">
        <f ca="1">IFERROR(__xludf.DUMMYFUNCTION("""COMPUTED_VALUE"""),"CD51")</f>
        <v>CD51</v>
      </c>
      <c r="H178" s="50" t="str">
        <f ca="1">IFERROR(__xludf.DUMMYFUNCTION("""COMPUTED_VALUE"""),"inactivité 2ème année")</f>
        <v>inactivité 2ème année</v>
      </c>
    </row>
    <row r="179" spans="1:8" ht="12.75">
      <c r="A179" s="46">
        <f ca="1">IFERROR(__xludf.DUMMYFUNCTION("""COMPUTED_VALUE"""),167)</f>
        <v>167</v>
      </c>
      <c r="B179" s="65" t="str">
        <f ca="1">IFERROR(__xludf.DUMMYFUNCTION("""COMPUTED_VALUE"""),"5726275")</f>
        <v>5726275</v>
      </c>
      <c r="C179" s="48" t="str">
        <f ca="1">IFERROR(__xludf.DUMMYFUNCTION("""COMPUTED_VALUE"""),"EGLOFF")</f>
        <v>EGLOFF</v>
      </c>
      <c r="D179" s="48" t="str">
        <f ca="1">IFERROR(__xludf.DUMMYFUNCTION("""COMPUTED_VALUE"""),"Christine")</f>
        <v>Christine</v>
      </c>
      <c r="E179" s="49" t="str">
        <f ca="1">IFERROR(__xludf.DUMMYFUNCTION("""COMPUTED_VALUE"""),"06570027")</f>
        <v>06570027</v>
      </c>
      <c r="F179" s="48" t="str">
        <f ca="1">IFERROR(__xludf.DUMMYFUNCTION("""COMPUTED_VALUE"""),"FORBACH U.S.T.T.")</f>
        <v>FORBACH U.S.T.T.</v>
      </c>
      <c r="G179" s="50" t="str">
        <f ca="1">IFERROR(__xludf.DUMMYFUNCTION("""COMPUTED_VALUE"""),"CD57")</f>
        <v>CD57</v>
      </c>
      <c r="H179" s="50" t="str">
        <f ca="1">IFERROR(__xludf.DUMMYFUNCTION("""COMPUTED_VALUE"""),"actif")</f>
        <v>actif</v>
      </c>
    </row>
    <row r="180" spans="1:8" ht="12.75">
      <c r="A180" s="46">
        <f ca="1">IFERROR(__xludf.DUMMYFUNCTION("""COMPUTED_VALUE"""),168)</f>
        <v>168</v>
      </c>
      <c r="B180" s="65" t="str">
        <f ca="1">IFERROR(__xludf.DUMMYFUNCTION("""COMPUTED_VALUE"""),"6947914")</f>
        <v>6947914</v>
      </c>
      <c r="C180" s="48" t="str">
        <f ca="1">IFERROR(__xludf.DUMMYFUNCTION("""COMPUTED_VALUE"""),"EL MEDDEB")</f>
        <v>EL MEDDEB</v>
      </c>
      <c r="D180" s="71" t="str">
        <f ca="1">IFERROR(__xludf.DUMMYFUNCTION("""COMPUTED_VALUE"""),"Basile")</f>
        <v>Basile</v>
      </c>
      <c r="E180" s="73" t="str">
        <f ca="1">IFERROR(__xludf.DUMMYFUNCTION("""COMPUTED_VALUE"""),"06670045")</f>
        <v>06670045</v>
      </c>
      <c r="F180" s="72" t="str">
        <f ca="1">IFERROR(__xludf.DUMMYFUNCTION("""COMPUTED_VALUE"""),"STRASBOURG RC")</f>
        <v>STRASBOURG RC</v>
      </c>
      <c r="G180" s="52" t="str">
        <f ca="1">IFERROR(__xludf.DUMMYFUNCTION("""COMPUTED_VALUE"""),"CD67")</f>
        <v>CD67</v>
      </c>
      <c r="H180" s="52" t="str">
        <f ca="1">IFERROR(__xludf.DUMMYFUNCTION("""COMPUTED_VALUE"""),"actif")</f>
        <v>actif</v>
      </c>
    </row>
    <row r="181" spans="1:8" ht="12.75">
      <c r="A181" s="46">
        <f ca="1">IFERROR(__xludf.DUMMYFUNCTION("""COMPUTED_VALUE"""),169)</f>
        <v>169</v>
      </c>
      <c r="B181" s="65" t="str">
        <f ca="1">IFERROR(__xludf.DUMMYFUNCTION("""COMPUTED_VALUE"""),"679529")</f>
        <v>679529</v>
      </c>
      <c r="C181" s="48" t="str">
        <f ca="1">IFERROR(__xludf.DUMMYFUNCTION("""COMPUTED_VALUE"""),"ENDURAN")</f>
        <v>ENDURAN</v>
      </c>
      <c r="D181" s="48" t="str">
        <f ca="1">IFERROR(__xludf.DUMMYFUNCTION("""COMPUTED_VALUE"""),"Laurent")</f>
        <v>Laurent</v>
      </c>
      <c r="E181" s="49" t="str">
        <f ca="1">IFERROR(__xludf.DUMMYFUNCTION("""COMPUTED_VALUE"""),"06670122")</f>
        <v>06670122</v>
      </c>
      <c r="F181" s="48" t="str">
        <f ca="1">IFERROR(__xludf.DUMMYFUNCTION("""COMPUTED_VALUE"""),"OBERNAI CA")</f>
        <v>OBERNAI CA</v>
      </c>
      <c r="G181" s="50" t="str">
        <f ca="1">IFERROR(__xludf.DUMMYFUNCTION("""COMPUTED_VALUE"""),"CD67")</f>
        <v>CD67</v>
      </c>
      <c r="H181" s="50" t="str">
        <f ca="1">IFERROR(__xludf.DUMMYFUNCTION("""COMPUTED_VALUE"""),"actif")</f>
        <v>actif</v>
      </c>
    </row>
    <row r="182" spans="1:8" ht="12.75">
      <c r="A182" s="46">
        <f ca="1">IFERROR(__xludf.DUMMYFUNCTION("""COMPUTED_VALUE"""),170)</f>
        <v>170</v>
      </c>
      <c r="B182" s="65" t="str">
        <f ca="1">IFERROR(__xludf.DUMMYFUNCTION("""COMPUTED_VALUE"""),"6733054")</f>
        <v>6733054</v>
      </c>
      <c r="C182" s="48" t="str">
        <f ca="1">IFERROR(__xludf.DUMMYFUNCTION("""COMPUTED_VALUE"""),"ENG")</f>
        <v>ENG</v>
      </c>
      <c r="D182" s="48" t="str">
        <f ca="1">IFERROR(__xludf.DUMMYFUNCTION("""COMPUTED_VALUE"""),"Sylvie")</f>
        <v>Sylvie</v>
      </c>
      <c r="E182" s="49" t="str">
        <f ca="1">IFERROR(__xludf.DUMMYFUNCTION("""COMPUTED_VALUE"""),"06670122")</f>
        <v>06670122</v>
      </c>
      <c r="F182" s="48" t="str">
        <f ca="1">IFERROR(__xludf.DUMMYFUNCTION("""COMPUTED_VALUE"""),"OBERNAI CA")</f>
        <v>OBERNAI CA</v>
      </c>
      <c r="G182" s="50" t="str">
        <f ca="1">IFERROR(__xludf.DUMMYFUNCTION("""COMPUTED_VALUE"""),"CD67")</f>
        <v>CD67</v>
      </c>
      <c r="H182" s="50" t="str">
        <f ca="1">IFERROR(__xludf.DUMMYFUNCTION("""COMPUTED_VALUE"""),"actif")</f>
        <v>actif</v>
      </c>
    </row>
    <row r="183" spans="1:8" ht="12.75">
      <c r="A183" s="46">
        <f ca="1">IFERROR(__xludf.DUMMYFUNCTION("""COMPUTED_VALUE"""),171)</f>
        <v>171</v>
      </c>
      <c r="B183" s="65" t="str">
        <f ca="1">IFERROR(__xludf.DUMMYFUNCTION("""COMPUTED_VALUE"""),"525653")</f>
        <v>525653</v>
      </c>
      <c r="C183" s="48" t="str">
        <f ca="1">IFERROR(__xludf.DUMMYFUNCTION("""COMPUTED_VALUE"""),"ESCHENBRENNER")</f>
        <v>ESCHENBRENNER</v>
      </c>
      <c r="D183" s="48" t="str">
        <f ca="1">IFERROR(__xludf.DUMMYFUNCTION("""COMPUTED_VALUE"""),"Sandrine")</f>
        <v>Sandrine</v>
      </c>
      <c r="E183" s="49" t="str">
        <f ca="1">IFERROR(__xludf.DUMMYFUNCTION("""COMPUTED_VALUE"""),"06520003")</f>
        <v>06520003</v>
      </c>
      <c r="F183" s="48" t="str">
        <f ca="1">IFERROR(__xludf.DUMMYFUNCTION("""COMPUTED_VALUE"""),"EURVILLE BIENVILLE Jeunes")</f>
        <v>EURVILLE BIENVILLE Jeunes</v>
      </c>
      <c r="G183" s="50" t="str">
        <f ca="1">IFERROR(__xludf.DUMMYFUNCTION("""COMPUTED_VALUE"""),"CD52")</f>
        <v>CD52</v>
      </c>
      <c r="H183" s="50" t="str">
        <f ca="1">IFERROR(__xludf.DUMMYFUNCTION("""COMPUTED_VALUE"""),"actif")</f>
        <v>actif</v>
      </c>
    </row>
    <row r="184" spans="1:8" ht="12.75">
      <c r="A184" s="46">
        <f ca="1">IFERROR(__xludf.DUMMYFUNCTION("""COMPUTED_VALUE"""),172)</f>
        <v>172</v>
      </c>
      <c r="B184" s="65" t="str">
        <f ca="1">IFERROR(__xludf.DUMMYFUNCTION("""COMPUTED_VALUE"""),"6731323")</f>
        <v>6731323</v>
      </c>
      <c r="C184" s="48" t="str">
        <f ca="1">IFERROR(__xludf.DUMMYFUNCTION("""COMPUTED_VALUE"""),"ESCRIBANO")</f>
        <v>ESCRIBANO</v>
      </c>
      <c r="D184" s="48" t="str">
        <f ca="1">IFERROR(__xludf.DUMMYFUNCTION("""COMPUTED_VALUE"""),"Antony")</f>
        <v>Antony</v>
      </c>
      <c r="E184" s="49" t="str">
        <f ca="1">IFERROR(__xludf.DUMMYFUNCTION("""COMPUTED_VALUE"""),"06670261")</f>
        <v>06670261</v>
      </c>
      <c r="F184" s="48" t="str">
        <f ca="1">IFERROR(__xludf.DUMMYFUNCTION("""COMPUTED_VALUE"""),"Avenir KOCHERSBERG TT")</f>
        <v>Avenir KOCHERSBERG TT</v>
      </c>
      <c r="G184" s="50" t="str">
        <f ca="1">IFERROR(__xludf.DUMMYFUNCTION("""COMPUTED_VALUE"""),"CD67")</f>
        <v>CD67</v>
      </c>
      <c r="H184" s="50" t="str">
        <f ca="1">IFERROR(__xludf.DUMMYFUNCTION("""COMPUTED_VALUE"""),"actif")</f>
        <v>actif</v>
      </c>
    </row>
    <row r="185" spans="1:8" ht="12.75">
      <c r="A185" s="46">
        <f ca="1">IFERROR(__xludf.DUMMYFUNCTION("""COMPUTED_VALUE"""),173)</f>
        <v>173</v>
      </c>
      <c r="B185" s="65" t="str">
        <f ca="1">IFERROR(__xludf.DUMMYFUNCTION("""COMPUTED_VALUE"""),"103729")</f>
        <v>103729</v>
      </c>
      <c r="C185" s="48" t="str">
        <f ca="1">IFERROR(__xludf.DUMMYFUNCTION("""COMPUTED_VALUE"""),"ESTEVES")</f>
        <v>ESTEVES</v>
      </c>
      <c r="D185" s="48" t="str">
        <f ca="1">IFERROR(__xludf.DUMMYFUNCTION("""COMPUTED_VALUE"""),"Eric")</f>
        <v>Eric</v>
      </c>
      <c r="E185" s="49" t="str">
        <f ca="1">IFERROR(__xludf.DUMMYFUNCTION("""COMPUTED_VALUE"""),"06100004")</f>
        <v>06100004</v>
      </c>
      <c r="F185" s="48" t="str">
        <f ca="1">IFERROR(__xludf.DUMMYFUNCTION("""COMPUTED_VALUE"""),"MOUSSEY CS")</f>
        <v>MOUSSEY CS</v>
      </c>
      <c r="G185" s="50" t="str">
        <f ca="1">IFERROR(__xludf.DUMMYFUNCTION("""COMPUTED_VALUE"""),"CD10")</f>
        <v>CD10</v>
      </c>
      <c r="H185" s="50" t="str">
        <f ca="1">IFERROR(__xludf.DUMMYFUNCTION("""COMPUTED_VALUE"""),"inactivité 1ère année")</f>
        <v>inactivité 1ère année</v>
      </c>
    </row>
    <row r="186" spans="1:8" ht="12.75">
      <c r="A186" s="46">
        <f ca="1">IFERROR(__xludf.DUMMYFUNCTION("""COMPUTED_VALUE"""),174)</f>
        <v>174</v>
      </c>
      <c r="B186" s="65" t="str">
        <f ca="1">IFERROR(__xludf.DUMMYFUNCTION("""COMPUTED_VALUE"""),"5412590")</f>
        <v>5412590</v>
      </c>
      <c r="C186" s="48" t="str">
        <f ca="1">IFERROR(__xludf.DUMMYFUNCTION("""COMPUTED_VALUE"""),"ETIENNE")</f>
        <v>ETIENNE</v>
      </c>
      <c r="D186" s="48" t="str">
        <f ca="1">IFERROR(__xludf.DUMMYFUNCTION("""COMPUTED_VALUE"""),"Ghislain")</f>
        <v>Ghislain</v>
      </c>
      <c r="E186" s="49" t="str">
        <f ca="1">IFERROR(__xludf.DUMMYFUNCTION("""COMPUTED_VALUE"""),"06540192")</f>
        <v>06540192</v>
      </c>
      <c r="F186" s="48" t="str">
        <f ca="1">IFERROR(__xludf.DUMMYFUNCTION("""COMPUTED_VALUE"""),"LONGLAVILLE TT")</f>
        <v>LONGLAVILLE TT</v>
      </c>
      <c r="G186" s="50" t="str">
        <f ca="1">IFERROR(__xludf.DUMMYFUNCTION("""COMPUTED_VALUE"""),"CD54")</f>
        <v>CD54</v>
      </c>
      <c r="H186" s="50" t="str">
        <f ca="1">IFERROR(__xludf.DUMMYFUNCTION("""COMPUTED_VALUE"""),"inactivité 3ème année")</f>
        <v>inactivité 3ème année</v>
      </c>
    </row>
    <row r="187" spans="1:8" ht="12.75">
      <c r="A187" s="46">
        <f ca="1">IFERROR(__xludf.DUMMYFUNCTION("""COMPUTED_VALUE"""),175)</f>
        <v>175</v>
      </c>
      <c r="B187" s="65" t="str">
        <f ca="1">IFERROR(__xludf.DUMMYFUNCTION("""COMPUTED_VALUE"""),"8812776")</f>
        <v>8812776</v>
      </c>
      <c r="C187" s="48" t="str">
        <f ca="1">IFERROR(__xludf.DUMMYFUNCTION("""COMPUTED_VALUE"""),"ETIENNE")</f>
        <v>ETIENNE</v>
      </c>
      <c r="D187" s="48" t="str">
        <f ca="1">IFERROR(__xludf.DUMMYFUNCTION("""COMPUTED_VALUE"""),"Gauthier")</f>
        <v>Gauthier</v>
      </c>
      <c r="E187" s="49" t="str">
        <f ca="1">IFERROR(__xludf.DUMMYFUNCTION("""COMPUTED_VALUE"""),"06880145")</f>
        <v>06880145</v>
      </c>
      <c r="F187" s="48" t="str">
        <f ca="1">IFERROR(__xludf.DUMMYFUNCTION("""COMPUTED_VALUE"""),"THAON CHENIMENIL E.S.T.T.")</f>
        <v>THAON CHENIMENIL E.S.T.T.</v>
      </c>
      <c r="G187" s="50" t="str">
        <f ca="1">IFERROR(__xludf.DUMMYFUNCTION("""COMPUTED_VALUE"""),"CD88")</f>
        <v>CD88</v>
      </c>
      <c r="H187" s="50" t="str">
        <f ca="1">IFERROR(__xludf.DUMMYFUNCTION("""COMPUTED_VALUE"""),"inactivité 1ère année")</f>
        <v>inactivité 1ère année</v>
      </c>
    </row>
    <row r="188" spans="1:8" ht="12.75">
      <c r="A188" s="46">
        <f ca="1">IFERROR(__xludf.DUMMYFUNCTION("""COMPUTED_VALUE"""),176)</f>
        <v>176</v>
      </c>
      <c r="B188" s="65" t="str">
        <f ca="1">IFERROR(__xludf.DUMMYFUNCTION("""COMPUTED_VALUE"""),"888252")</f>
        <v>888252</v>
      </c>
      <c r="C188" s="48" t="str">
        <f ca="1">IFERROR(__xludf.DUMMYFUNCTION("""COMPUTED_VALUE"""),"ETIENNE")</f>
        <v>ETIENNE</v>
      </c>
      <c r="D188" s="48" t="str">
        <f ca="1">IFERROR(__xludf.DUMMYFUNCTION("""COMPUTED_VALUE"""),"Celine")</f>
        <v>Celine</v>
      </c>
      <c r="E188" s="49" t="str">
        <f ca="1">IFERROR(__xludf.DUMMYFUNCTION("""COMPUTED_VALUE"""),"06880123")</f>
        <v>06880123</v>
      </c>
      <c r="F188" s="48" t="str">
        <f ca="1">IFERROR(__xludf.DUMMYFUNCTION("""COMPUTED_VALUE"""),"ETIVAL ASRTT")</f>
        <v>ETIVAL ASRTT</v>
      </c>
      <c r="G188" s="50" t="str">
        <f ca="1">IFERROR(__xludf.DUMMYFUNCTION("""COMPUTED_VALUE"""),"CD88")</f>
        <v>CD88</v>
      </c>
      <c r="H188" s="50" t="str">
        <f ca="1">IFERROR(__xludf.DUMMYFUNCTION("""COMPUTED_VALUE"""),"inactivité 1ère année")</f>
        <v>inactivité 1ère année</v>
      </c>
    </row>
    <row r="189" spans="1:8" ht="12.75">
      <c r="A189" s="46">
        <f ca="1">IFERROR(__xludf.DUMMYFUNCTION("""COMPUTED_VALUE"""),177)</f>
        <v>177</v>
      </c>
      <c r="B189" s="65" t="str">
        <f ca="1">IFERROR(__xludf.DUMMYFUNCTION("""COMPUTED_VALUE"""),"5711210")</f>
        <v>5711210</v>
      </c>
      <c r="C189" s="48" t="str">
        <f ca="1">IFERROR(__xludf.DUMMYFUNCTION("""COMPUTED_VALUE"""),"EWIG")</f>
        <v>EWIG</v>
      </c>
      <c r="D189" s="48" t="str">
        <f ca="1">IFERROR(__xludf.DUMMYFUNCTION("""COMPUTED_VALUE"""),"Kevin")</f>
        <v>Kevin</v>
      </c>
      <c r="E189" s="49" t="str">
        <f ca="1">IFERROR(__xludf.DUMMYFUNCTION("""COMPUTED_VALUE"""),"06570070")</f>
        <v>06570070</v>
      </c>
      <c r="F189" s="48" t="str">
        <f ca="1">IFERROR(__xludf.DUMMYFUNCTION("""COMPUTED_VALUE"""),"AMNEVILLE Tennis de Table")</f>
        <v>AMNEVILLE Tennis de Table</v>
      </c>
      <c r="G189" s="50" t="str">
        <f ca="1">IFERROR(__xludf.DUMMYFUNCTION("""COMPUTED_VALUE"""),"CD57")</f>
        <v>CD57</v>
      </c>
      <c r="H189" s="50" t="str">
        <f ca="1">IFERROR(__xludf.DUMMYFUNCTION("""COMPUTED_VALUE"""),"inactivité 1ère année")</f>
        <v>inactivité 1ère année</v>
      </c>
    </row>
    <row r="190" spans="1:8" ht="12.75">
      <c r="A190" s="46">
        <f ca="1">IFERROR(__xludf.DUMMYFUNCTION("""COMPUTED_VALUE"""),178)</f>
        <v>178</v>
      </c>
      <c r="B190" s="65" t="str">
        <f ca="1">IFERROR(__xludf.DUMMYFUNCTION("""COMPUTED_VALUE"""),"8816282")</f>
        <v>8816282</v>
      </c>
      <c r="C190" s="48" t="str">
        <f ca="1">IFERROR(__xludf.DUMMYFUNCTION("""COMPUTED_VALUE"""),"FALEYEUX")</f>
        <v>FALEYEUX</v>
      </c>
      <c r="D190" s="48" t="str">
        <f ca="1">IFERROR(__xludf.DUMMYFUNCTION("""COMPUTED_VALUE"""),"Eric")</f>
        <v>Eric</v>
      </c>
      <c r="E190" s="49" t="str">
        <f ca="1">IFERROR(__xludf.DUMMYFUNCTION("""COMPUTED_VALUE"""),"06880073")</f>
        <v>06880073</v>
      </c>
      <c r="F190" s="48" t="str">
        <f ca="1">IFERROR(__xludf.DUMMYFUNCTION("""COMPUTED_VALUE"""),"SAINTE MARGUERITE C.T.T.")</f>
        <v>SAINTE MARGUERITE C.T.T.</v>
      </c>
      <c r="G190" s="50" t="str">
        <f ca="1">IFERROR(__xludf.DUMMYFUNCTION("""COMPUTED_VALUE"""),"CD88")</f>
        <v>CD88</v>
      </c>
      <c r="H190" s="50" t="str">
        <f ca="1">IFERROR(__xludf.DUMMYFUNCTION("""COMPUTED_VALUE"""),"inactivité 1ère année")</f>
        <v>inactivité 1ère année</v>
      </c>
    </row>
    <row r="191" spans="1:8" ht="12.75">
      <c r="A191" s="46">
        <f ca="1">IFERROR(__xludf.DUMMYFUNCTION("""COMPUTED_VALUE"""),179)</f>
        <v>179</v>
      </c>
      <c r="B191" s="65" t="str">
        <f ca="1">IFERROR(__xludf.DUMMYFUNCTION("""COMPUTED_VALUE"""),"5427902")</f>
        <v>5427902</v>
      </c>
      <c r="C191" s="48" t="str">
        <f ca="1">IFERROR(__xludf.DUMMYFUNCTION("""COMPUTED_VALUE"""),"FAYS")</f>
        <v>FAYS</v>
      </c>
      <c r="D191" s="48" t="str">
        <f ca="1">IFERROR(__xludf.DUMMYFUNCTION("""COMPUTED_VALUE"""),"Xavier")</f>
        <v>Xavier</v>
      </c>
      <c r="E191" s="49" t="str">
        <f ca="1">IFERROR(__xludf.DUMMYFUNCTION("""COMPUTED_VALUE"""),"06540082")</f>
        <v>06540082</v>
      </c>
      <c r="F191" s="48" t="str">
        <f ca="1">IFERROR(__xludf.DUMMYFUNCTION("""COMPUTED_VALUE"""),"LUDRES FLAVIGNY TT")</f>
        <v>LUDRES FLAVIGNY TT</v>
      </c>
      <c r="G191" s="50" t="str">
        <f ca="1">IFERROR(__xludf.DUMMYFUNCTION("""COMPUTED_VALUE"""),"CD54")</f>
        <v>CD54</v>
      </c>
      <c r="H191" s="50" t="str">
        <f ca="1">IFERROR(__xludf.DUMMYFUNCTION("""COMPUTED_VALUE"""),"inactivité 1ère année")</f>
        <v>inactivité 1ère année</v>
      </c>
    </row>
    <row r="192" spans="1:8" ht="12.75">
      <c r="A192" s="46">
        <f ca="1">IFERROR(__xludf.DUMMYFUNCTION("""COMPUTED_VALUE"""),180)</f>
        <v>180</v>
      </c>
      <c r="B192" s="65" t="str">
        <f ca="1">IFERROR(__xludf.DUMMYFUNCTION("""COMPUTED_VALUE"""),"8819400")</f>
        <v>8819400</v>
      </c>
      <c r="C192" s="48" t="str">
        <f ca="1">IFERROR(__xludf.DUMMYFUNCTION("""COMPUTED_VALUE"""),"FEICHT")</f>
        <v>FEICHT</v>
      </c>
      <c r="D192" s="48" t="str">
        <f ca="1">IFERROR(__xludf.DUMMYFUNCTION("""COMPUTED_VALUE"""),"Michel")</f>
        <v>Michel</v>
      </c>
      <c r="E192" s="49" t="str">
        <f ca="1">IFERROR(__xludf.DUMMYFUNCTION("""COMPUTED_VALUE"""),"06880083")</f>
        <v>06880083</v>
      </c>
      <c r="F192" s="48" t="str">
        <f ca="1">IFERROR(__xludf.DUMMYFUNCTION("""COMPUTED_VALUE"""),"XONRUPT A.S.C.X.L. T.T.")</f>
        <v>XONRUPT A.S.C.X.L. T.T.</v>
      </c>
      <c r="G192" s="50" t="str">
        <f ca="1">IFERROR(__xludf.DUMMYFUNCTION("""COMPUTED_VALUE"""),"CD88")</f>
        <v>CD88</v>
      </c>
      <c r="H192" s="50" t="str">
        <f ca="1">IFERROR(__xludf.DUMMYFUNCTION("""COMPUTED_VALUE"""),"actif")</f>
        <v>actif</v>
      </c>
    </row>
    <row r="193" spans="1:8" ht="12.75">
      <c r="A193" s="46">
        <f ca="1">IFERROR(__xludf.DUMMYFUNCTION("""COMPUTED_VALUE"""),181)</f>
        <v>181</v>
      </c>
      <c r="B193" s="65" t="str">
        <f ca="1">IFERROR(__xludf.DUMMYFUNCTION("""COMPUTED_VALUE"""),"5424300")</f>
        <v>5424300</v>
      </c>
      <c r="C193" s="48" t="str">
        <f ca="1">IFERROR(__xludf.DUMMYFUNCTION("""COMPUTED_VALUE"""),"FERNANDES")</f>
        <v>FERNANDES</v>
      </c>
      <c r="D193" s="48" t="str">
        <f ca="1">IFERROR(__xludf.DUMMYFUNCTION("""COMPUTED_VALUE"""),"Brian")</f>
        <v>Brian</v>
      </c>
      <c r="E193" s="49" t="str">
        <f ca="1">IFERROR(__xludf.DUMMYFUNCTION("""COMPUTED_VALUE"""),"06540001")</f>
        <v>06540001</v>
      </c>
      <c r="F193" s="48" t="str">
        <f ca="1">IFERROR(__xludf.DUMMYFUNCTION("""COMPUTED_VALUE"""),"BLAINVILLE DAMELEVIERES AC")</f>
        <v>BLAINVILLE DAMELEVIERES AC</v>
      </c>
      <c r="G193" s="50" t="str">
        <f ca="1">IFERROR(__xludf.DUMMYFUNCTION("""COMPUTED_VALUE"""),"CD54")</f>
        <v>CD54</v>
      </c>
      <c r="H193" s="50" t="str">
        <f ca="1">IFERROR(__xludf.DUMMYFUNCTION("""COMPUTED_VALUE"""),"actif")</f>
        <v>actif</v>
      </c>
    </row>
    <row r="194" spans="1:8" ht="12.75">
      <c r="A194" s="46">
        <f ca="1">IFERROR(__xludf.DUMMYFUNCTION("""COMPUTED_VALUE"""),182)</f>
        <v>182</v>
      </c>
      <c r="B194" s="65" t="str">
        <f ca="1">IFERROR(__xludf.DUMMYFUNCTION("""COMPUTED_VALUE"""),"839000")</f>
        <v>839000</v>
      </c>
      <c r="C194" s="48" t="str">
        <f ca="1">IFERROR(__xludf.DUMMYFUNCTION("""COMPUTED_VALUE"""),"FESSARD")</f>
        <v>FESSARD</v>
      </c>
      <c r="D194" s="48" t="str">
        <f ca="1">IFERROR(__xludf.DUMMYFUNCTION("""COMPUTED_VALUE"""),"Stephane")</f>
        <v>Stephane</v>
      </c>
      <c r="E194" s="49" t="str">
        <f ca="1">IFERROR(__xludf.DUMMYFUNCTION("""COMPUTED_VALUE"""),"06100005")</f>
        <v>06100005</v>
      </c>
      <c r="F194" s="48" t="str">
        <f ca="1">IFERROR(__xludf.DUMMYFUNCTION("""COMPUTED_VALUE"""),"ROMILLY SPORTS 10")</f>
        <v>ROMILLY SPORTS 10</v>
      </c>
      <c r="G194" s="50" t="str">
        <f ca="1">IFERROR(__xludf.DUMMYFUNCTION("""COMPUTED_VALUE"""),"CD10")</f>
        <v>CD10</v>
      </c>
      <c r="H194" s="50" t="str">
        <f ca="1">IFERROR(__xludf.DUMMYFUNCTION("""COMPUTED_VALUE"""),"inactivité 1ère année")</f>
        <v>inactivité 1ère année</v>
      </c>
    </row>
    <row r="195" spans="1:8" ht="12.75">
      <c r="A195" s="46">
        <f ca="1">IFERROR(__xludf.DUMMYFUNCTION("""COMPUTED_VALUE"""),183)</f>
        <v>183</v>
      </c>
      <c r="B195" s="65" t="str">
        <f ca="1">IFERROR(__xludf.DUMMYFUNCTION("""COMPUTED_VALUE"""),"103080")</f>
        <v>103080</v>
      </c>
      <c r="C195" s="48" t="str">
        <f ca="1">IFERROR(__xludf.DUMMYFUNCTION("""COMPUTED_VALUE"""),"FIOL")</f>
        <v>FIOL</v>
      </c>
      <c r="D195" s="48" t="str">
        <f ca="1">IFERROR(__xludf.DUMMYFUNCTION("""COMPUTED_VALUE"""),"Julien")</f>
        <v>Julien</v>
      </c>
      <c r="E195" s="49" t="str">
        <f ca="1">IFERROR(__xludf.DUMMYFUNCTION("""COMPUTED_VALUE"""),"06100032")</f>
        <v>06100032</v>
      </c>
      <c r="F195" s="48" t="str">
        <f ca="1">IFERROR(__xludf.DUMMYFUNCTION("""COMPUTED_VALUE"""),"SAINT ANDRE ASTT Dryate")</f>
        <v>SAINT ANDRE ASTT Dryate</v>
      </c>
      <c r="G195" s="50" t="str">
        <f ca="1">IFERROR(__xludf.DUMMYFUNCTION("""COMPUTED_VALUE"""),"CD10")</f>
        <v>CD10</v>
      </c>
      <c r="H195" s="50" t="str">
        <f ca="1">IFERROR(__xludf.DUMMYFUNCTION("""COMPUTED_VALUE"""),"inactivité 1ère année")</f>
        <v>inactivité 1ère année</v>
      </c>
    </row>
    <row r="196" spans="1:8" ht="12.75">
      <c r="A196" s="46">
        <f ca="1">IFERROR(__xludf.DUMMYFUNCTION("""COMPUTED_VALUE"""),184)</f>
        <v>184</v>
      </c>
      <c r="B196" s="65" t="str">
        <f ca="1">IFERROR(__xludf.DUMMYFUNCTION("""COMPUTED_VALUE"""),"67407")</f>
        <v>67407</v>
      </c>
      <c r="C196" s="48" t="str">
        <f ca="1">IFERROR(__xludf.DUMMYFUNCTION("""COMPUTED_VALUE"""),"FISCHER")</f>
        <v>FISCHER</v>
      </c>
      <c r="D196" s="48" t="str">
        <f ca="1">IFERROR(__xludf.DUMMYFUNCTION("""COMPUTED_VALUE"""),"Antoine")</f>
        <v>Antoine</v>
      </c>
      <c r="E196" s="49" t="str">
        <f ca="1">IFERROR(__xludf.DUMMYFUNCTION("""COMPUTED_VALUE"""),"06670027")</f>
        <v>06670027</v>
      </c>
      <c r="F196" s="48" t="str">
        <f ca="1">IFERROR(__xludf.DUMMYFUNCTION("""COMPUTED_VALUE"""),"ROSHEIM CA")</f>
        <v>ROSHEIM CA</v>
      </c>
      <c r="G196" s="50" t="str">
        <f ca="1">IFERROR(__xludf.DUMMYFUNCTION("""COMPUTED_VALUE"""),"CD67")</f>
        <v>CD67</v>
      </c>
      <c r="H196" s="50" t="str">
        <f ca="1">IFERROR(__xludf.DUMMYFUNCTION("""COMPUTED_VALUE"""),"inactivité 2ème année")</f>
        <v>inactivité 2ème année</v>
      </c>
    </row>
    <row r="197" spans="1:8" ht="12.75">
      <c r="A197" s="46">
        <f ca="1">IFERROR(__xludf.DUMMYFUNCTION("""COMPUTED_VALUE"""),185)</f>
        <v>185</v>
      </c>
      <c r="B197" s="65" t="str">
        <f ca="1">IFERROR(__xludf.DUMMYFUNCTION("""COMPUTED_VALUE"""),"5113753")</f>
        <v>5113753</v>
      </c>
      <c r="C197" s="48" t="str">
        <f ca="1">IFERROR(__xludf.DUMMYFUNCTION("""COMPUTED_VALUE"""),"FLAMAND")</f>
        <v>FLAMAND</v>
      </c>
      <c r="D197" s="48" t="str">
        <f ca="1">IFERROR(__xludf.DUMMYFUNCTION("""COMPUTED_VALUE"""),"Theo")</f>
        <v>Theo</v>
      </c>
      <c r="E197" s="49" t="str">
        <f ca="1">IFERROR(__xludf.DUMMYFUNCTION("""COMPUTED_VALUE"""),"06510112")</f>
        <v>06510112</v>
      </c>
      <c r="F197" s="48" t="str">
        <f ca="1">IFERROR(__xludf.DUMMYFUNCTION("""COMPUTED_VALUE"""),"CHALONS-EN-CHAMPAGNE TT")</f>
        <v>CHALONS-EN-CHAMPAGNE TT</v>
      </c>
      <c r="G197" s="50" t="str">
        <f ca="1">IFERROR(__xludf.DUMMYFUNCTION("""COMPUTED_VALUE"""),"CD51")</f>
        <v>CD51</v>
      </c>
      <c r="H197" s="50" t="str">
        <f ca="1">IFERROR(__xludf.DUMMYFUNCTION("""COMPUTED_VALUE"""),"actif")</f>
        <v>actif</v>
      </c>
    </row>
    <row r="198" spans="1:8" ht="12.75">
      <c r="A198" s="46">
        <f ca="1">IFERROR(__xludf.DUMMYFUNCTION("""COMPUTED_VALUE"""),186)</f>
        <v>186</v>
      </c>
      <c r="B198" s="65" t="str">
        <f ca="1">IFERROR(__xludf.DUMMYFUNCTION("""COMPUTED_VALUE"""),"524398")</f>
        <v>524398</v>
      </c>
      <c r="C198" s="48" t="str">
        <f ca="1">IFERROR(__xludf.DUMMYFUNCTION("""COMPUTED_VALUE"""),"FLAMANT")</f>
        <v>FLAMANT</v>
      </c>
      <c r="D198" s="48" t="str">
        <f ca="1">IFERROR(__xludf.DUMMYFUNCTION("""COMPUTED_VALUE"""),"Stephane")</f>
        <v>Stephane</v>
      </c>
      <c r="E198" s="49" t="str">
        <f ca="1">IFERROR(__xludf.DUMMYFUNCTION("""COMPUTED_VALUE"""),"06550007")</f>
        <v>06550007</v>
      </c>
      <c r="F198" s="48" t="str">
        <f ca="1">IFERROR(__xludf.DUMMYFUNCTION("""COMPUTED_VALUE"""),"ANCERVILLE M.J.C.")</f>
        <v>ANCERVILLE M.J.C.</v>
      </c>
      <c r="G198" s="50" t="str">
        <f ca="1">IFERROR(__xludf.DUMMYFUNCTION("""COMPUTED_VALUE"""),"CD55")</f>
        <v>CD55</v>
      </c>
      <c r="H198" s="50" t="str">
        <f ca="1">IFERROR(__xludf.DUMMYFUNCTION("""COMPUTED_VALUE"""),"actif")</f>
        <v>actif</v>
      </c>
    </row>
    <row r="199" spans="1:8" ht="12.75">
      <c r="A199" s="46">
        <f ca="1">IFERROR(__xludf.DUMMYFUNCTION("""COMPUTED_VALUE"""),187)</f>
        <v>187</v>
      </c>
      <c r="B199" s="65" t="str">
        <f ca="1">IFERROR(__xludf.DUMMYFUNCTION("""COMPUTED_VALUE"""),"6732")</f>
        <v>6732</v>
      </c>
      <c r="C199" s="48" t="str">
        <f ca="1">IFERROR(__xludf.DUMMYFUNCTION("""COMPUTED_VALUE"""),"FLECK")</f>
        <v>FLECK</v>
      </c>
      <c r="D199" s="48" t="str">
        <f ca="1">IFERROR(__xludf.DUMMYFUNCTION("""COMPUTED_VALUE"""),"Claude")</f>
        <v>Claude</v>
      </c>
      <c r="E199" s="49" t="str">
        <f ca="1">IFERROR(__xludf.DUMMYFUNCTION("""COMPUTED_VALUE"""),"06670002")</f>
        <v>06670002</v>
      </c>
      <c r="F199" s="48" t="str">
        <f ca="1">IFERROR(__xludf.DUMMYFUNCTION("""COMPUTED_VALUE"""),"STRASBOURG ST JEAN CS 1852")</f>
        <v>STRASBOURG ST JEAN CS 1852</v>
      </c>
      <c r="G199" s="50" t="str">
        <f ca="1">IFERROR(__xludf.DUMMYFUNCTION("""COMPUTED_VALUE"""),"CD67")</f>
        <v>CD67</v>
      </c>
      <c r="H199" s="50" t="str">
        <f ca="1">IFERROR(__xludf.DUMMYFUNCTION("""COMPUTED_VALUE"""),"inactivité 2ème année")</f>
        <v>inactivité 2ème année</v>
      </c>
    </row>
    <row r="200" spans="1:8" ht="12.75">
      <c r="A200" s="46">
        <f ca="1">IFERROR(__xludf.DUMMYFUNCTION("""COMPUTED_VALUE"""),188)</f>
        <v>188</v>
      </c>
      <c r="B200" s="65" t="str">
        <f ca="1">IFERROR(__xludf.DUMMYFUNCTION("""COMPUTED_VALUE"""),"5433981")</f>
        <v>5433981</v>
      </c>
      <c r="C200" s="48" t="str">
        <f ca="1">IFERROR(__xludf.DUMMYFUNCTION("""COMPUTED_VALUE"""),"FLEUROT")</f>
        <v>FLEUROT</v>
      </c>
      <c r="D200" s="48" t="str">
        <f ca="1">IFERROR(__xludf.DUMMYFUNCTION("""COMPUTED_VALUE"""),"Denis")</f>
        <v>Denis</v>
      </c>
      <c r="E200" s="49" t="str">
        <f ca="1">IFERROR(__xludf.DUMMYFUNCTION("""COMPUTED_VALUE"""),"06540128")</f>
        <v>06540128</v>
      </c>
      <c r="F200" s="48" t="str">
        <f ca="1">IFERROR(__xludf.DUMMYFUNCTION("""COMPUTED_VALUE"""),"PONT A MOUSSON A.S.T.T.")</f>
        <v>PONT A MOUSSON A.S.T.T.</v>
      </c>
      <c r="G200" s="50" t="str">
        <f ca="1">IFERROR(__xludf.DUMMYFUNCTION("""COMPUTED_VALUE"""),"CD54")</f>
        <v>CD54</v>
      </c>
      <c r="H200" s="50" t="str">
        <f ca="1">IFERROR(__xludf.DUMMYFUNCTION("""COMPUTED_VALUE"""),"actif")</f>
        <v>actif</v>
      </c>
    </row>
    <row r="201" spans="1:8" ht="12.75">
      <c r="A201" s="46">
        <f ca="1">IFERROR(__xludf.DUMMYFUNCTION("""COMPUTED_VALUE"""),189)</f>
        <v>189</v>
      </c>
      <c r="B201" s="65" t="str">
        <f ca="1">IFERROR(__xludf.DUMMYFUNCTION("""COMPUTED_VALUE"""),"573670")</f>
        <v>573670</v>
      </c>
      <c r="C201" s="48" t="str">
        <f ca="1">IFERROR(__xludf.DUMMYFUNCTION("""COMPUTED_VALUE"""),"FLOTTE")</f>
        <v>FLOTTE</v>
      </c>
      <c r="D201" s="48" t="str">
        <f ca="1">IFERROR(__xludf.DUMMYFUNCTION("""COMPUTED_VALUE"""),"Didier")</f>
        <v>Didier</v>
      </c>
      <c r="E201" s="49" t="str">
        <f ca="1">IFERROR(__xludf.DUMMYFUNCTION("""COMPUTED_VALUE"""),"06570190")</f>
        <v>06570190</v>
      </c>
      <c r="F201" s="48" t="str">
        <f ca="1">IFERROR(__xludf.DUMMYFUNCTION("""COMPUTED_VALUE"""),"METZ Tennis de Table")</f>
        <v>METZ Tennis de Table</v>
      </c>
      <c r="G201" s="50" t="str">
        <f ca="1">IFERROR(__xludf.DUMMYFUNCTION("""COMPUTED_VALUE"""),"CD57")</f>
        <v>CD57</v>
      </c>
      <c r="H201" s="50" t="str">
        <f ca="1">IFERROR(__xludf.DUMMYFUNCTION("""COMPUTED_VALUE"""),"inactivité 2ème année")</f>
        <v>inactivité 2ème année</v>
      </c>
    </row>
    <row r="202" spans="1:8" ht="12.75">
      <c r="A202" s="46">
        <f ca="1">IFERROR(__xludf.DUMMYFUNCTION("""COMPUTED_VALUE"""),190)</f>
        <v>190</v>
      </c>
      <c r="B202" s="65" t="str">
        <f ca="1">IFERROR(__xludf.DUMMYFUNCTION("""COMPUTED_VALUE"""),"679605")</f>
        <v>679605</v>
      </c>
      <c r="C202" s="48" t="str">
        <f ca="1">IFERROR(__xludf.DUMMYFUNCTION("""COMPUTED_VALUE"""),"FLUCK")</f>
        <v>FLUCK</v>
      </c>
      <c r="D202" s="48" t="str">
        <f ca="1">IFERROR(__xludf.DUMMYFUNCTION("""COMPUTED_VALUE"""),"Laurent")</f>
        <v>Laurent</v>
      </c>
      <c r="E202" s="49" t="str">
        <f ca="1">IFERROR(__xludf.DUMMYFUNCTION("""COMPUTED_VALUE"""),"06670257")</f>
        <v>06670257</v>
      </c>
      <c r="F202" s="48" t="str">
        <f ca="1">IFERROR(__xludf.DUMMYFUNCTION("""COMPUTED_VALUE"""),"AMICALE PONGISTE WOLXHEIM")</f>
        <v>AMICALE PONGISTE WOLXHEIM</v>
      </c>
      <c r="G202" s="50" t="str">
        <f ca="1">IFERROR(__xludf.DUMMYFUNCTION("""COMPUTED_VALUE"""),"CD67")</f>
        <v>CD67</v>
      </c>
      <c r="H202" s="50" t="str">
        <f ca="1">IFERROR(__xludf.DUMMYFUNCTION("""COMPUTED_VALUE"""),"inactivité 3ème année")</f>
        <v>inactivité 3ème année</v>
      </c>
    </row>
    <row r="203" spans="1:8" ht="12.75">
      <c r="A203" s="46">
        <f ca="1">IFERROR(__xludf.DUMMYFUNCTION("""COMPUTED_VALUE"""),191)</f>
        <v>191</v>
      </c>
      <c r="B203" s="65" t="str">
        <f ca="1">IFERROR(__xludf.DUMMYFUNCTION("""COMPUTED_VALUE"""),"5418014")</f>
        <v>5418014</v>
      </c>
      <c r="C203" s="48" t="str">
        <f ca="1">IFERROR(__xludf.DUMMYFUNCTION("""COMPUTED_VALUE"""),"FRANCOIS")</f>
        <v>FRANCOIS</v>
      </c>
      <c r="D203" s="48" t="str">
        <f ca="1">IFERROR(__xludf.DUMMYFUNCTION("""COMPUTED_VALUE"""),"Arnaud")</f>
        <v>Arnaud</v>
      </c>
      <c r="E203" s="49" t="str">
        <f ca="1">IFERROR(__xludf.DUMMYFUNCTION("""COMPUTED_VALUE"""),"06880066")</f>
        <v>06880066</v>
      </c>
      <c r="F203" s="48" t="str">
        <f ca="1">IFERROR(__xludf.DUMMYFUNCTION("""COMPUTED_VALUE"""),"ELOYES C.L.L.T.T.")</f>
        <v>ELOYES C.L.L.T.T.</v>
      </c>
      <c r="G203" s="50" t="str">
        <f ca="1">IFERROR(__xludf.DUMMYFUNCTION("""COMPUTED_VALUE"""),"CD88")</f>
        <v>CD88</v>
      </c>
      <c r="H203" s="50" t="str">
        <f ca="1">IFERROR(__xludf.DUMMYFUNCTION("""COMPUTED_VALUE"""),"inactivité 1ère année")</f>
        <v>inactivité 1ère année</v>
      </c>
    </row>
    <row r="204" spans="1:8" ht="12.75">
      <c r="A204" s="46">
        <f ca="1">IFERROR(__xludf.DUMMYFUNCTION("""COMPUTED_VALUE"""),192)</f>
        <v>192</v>
      </c>
      <c r="B204" s="65" t="str">
        <f ca="1">IFERROR(__xludf.DUMMYFUNCTION("""COMPUTED_VALUE"""),"5414316")</f>
        <v>5414316</v>
      </c>
      <c r="C204" s="48" t="str">
        <f ca="1">IFERROR(__xludf.DUMMYFUNCTION("""COMPUTED_VALUE"""),"FRANCOIS")</f>
        <v>FRANCOIS</v>
      </c>
      <c r="D204" s="48" t="str">
        <f ca="1">IFERROR(__xludf.DUMMYFUNCTION("""COMPUTED_VALUE"""),"Gauthier")</f>
        <v>Gauthier</v>
      </c>
      <c r="E204" s="49" t="str">
        <f ca="1">IFERROR(__xludf.DUMMYFUNCTION("""COMPUTED_VALUE"""),"06510009")</f>
        <v>06510009</v>
      </c>
      <c r="F204" s="48" t="str">
        <f ca="1">IFERROR(__xludf.DUMMYFUNCTION("""COMPUTED_VALUE"""),"FISMES ARDRE VESLE US")</f>
        <v>FISMES ARDRE VESLE US</v>
      </c>
      <c r="G204" s="50" t="str">
        <f ca="1">IFERROR(__xludf.DUMMYFUNCTION("""COMPUTED_VALUE"""),"CD51")</f>
        <v>CD51</v>
      </c>
      <c r="H204" s="50" t="str">
        <f ca="1">IFERROR(__xludf.DUMMYFUNCTION("""COMPUTED_VALUE"""),"actif")</f>
        <v>actif</v>
      </c>
    </row>
    <row r="205" spans="1:8" ht="12.75">
      <c r="A205" s="46">
        <f ca="1">IFERROR(__xludf.DUMMYFUNCTION("""COMPUTED_VALUE"""),193)</f>
        <v>193</v>
      </c>
      <c r="B205" s="65" t="str">
        <f ca="1">IFERROR(__xludf.DUMMYFUNCTION("""COMPUTED_VALUE"""),"6715250")</f>
        <v>6715250</v>
      </c>
      <c r="C205" s="48" t="str">
        <f ca="1">IFERROR(__xludf.DUMMYFUNCTION("""COMPUTED_VALUE"""),"FRESCH")</f>
        <v>FRESCH</v>
      </c>
      <c r="D205" s="48" t="str">
        <f ca="1">IFERROR(__xludf.DUMMYFUNCTION("""COMPUTED_VALUE"""),"Florentin")</f>
        <v>Florentin</v>
      </c>
      <c r="E205" s="49" t="str">
        <f ca="1">IFERROR(__xludf.DUMMYFUNCTION("""COMPUTED_VALUE"""),"06670221")</f>
        <v>06670221</v>
      </c>
      <c r="F205" s="48" t="str">
        <f ca="1">IFERROR(__xludf.DUMMYFUNCTION("""COMPUTED_VALUE"""),"BARR Tennis de Table")</f>
        <v>BARR Tennis de Table</v>
      </c>
      <c r="G205" s="50" t="str">
        <f ca="1">IFERROR(__xludf.DUMMYFUNCTION("""COMPUTED_VALUE"""),"CD67")</f>
        <v>CD67</v>
      </c>
      <c r="H205" s="50" t="str">
        <f ca="1">IFERROR(__xludf.DUMMYFUNCTION("""COMPUTED_VALUE"""),"inactivité 1ère année")</f>
        <v>inactivité 1ère année</v>
      </c>
    </row>
    <row r="206" spans="1:8" ht="12.75">
      <c r="A206" s="46">
        <f ca="1">IFERROR(__xludf.DUMMYFUNCTION("""COMPUTED_VALUE"""),194)</f>
        <v>194</v>
      </c>
      <c r="B206" s="65" t="str">
        <f ca="1">IFERROR(__xludf.DUMMYFUNCTION("""COMPUTED_VALUE"""),"882441")</f>
        <v>882441</v>
      </c>
      <c r="C206" s="48" t="str">
        <f ca="1">IFERROR(__xludf.DUMMYFUNCTION("""COMPUTED_VALUE"""),"FRIRY")</f>
        <v>FRIRY</v>
      </c>
      <c r="D206" s="48" t="str">
        <f ca="1">IFERROR(__xludf.DUMMYFUNCTION("""COMPUTED_VALUE"""),"Isabelle")</f>
        <v>Isabelle</v>
      </c>
      <c r="E206" s="49" t="str">
        <f ca="1">IFERROR(__xludf.DUMMYFUNCTION("""COMPUTED_VALUE"""),"06880051")</f>
        <v>06880051</v>
      </c>
      <c r="F206" s="48" t="str">
        <f ca="1">IFERROR(__xludf.DUMMYFUNCTION("""COMPUTED_VALUE"""),"Raquette Golbéenne")</f>
        <v>Raquette Golbéenne</v>
      </c>
      <c r="G206" s="50" t="str">
        <f ca="1">IFERROR(__xludf.DUMMYFUNCTION("""COMPUTED_VALUE"""),"CD88")</f>
        <v>CD88</v>
      </c>
      <c r="H206" s="50" t="str">
        <f ca="1">IFERROR(__xludf.DUMMYFUNCTION("""COMPUTED_VALUE"""),"actif")</f>
        <v>actif</v>
      </c>
    </row>
    <row r="207" spans="1:8" ht="12.75">
      <c r="A207" s="46">
        <f ca="1">IFERROR(__xludf.DUMMYFUNCTION("""COMPUTED_VALUE"""),195)</f>
        <v>195</v>
      </c>
      <c r="B207" s="65" t="str">
        <f ca="1">IFERROR(__xludf.DUMMYFUNCTION("""COMPUTED_VALUE"""),"6733088")</f>
        <v>6733088</v>
      </c>
      <c r="C207" s="48" t="str">
        <f ca="1">IFERROR(__xludf.DUMMYFUNCTION("""COMPUTED_VALUE"""),"FRISON")</f>
        <v>FRISON</v>
      </c>
      <c r="D207" s="48" t="str">
        <f ca="1">IFERROR(__xludf.DUMMYFUNCTION("""COMPUTED_VALUE"""),"Arthur")</f>
        <v>Arthur</v>
      </c>
      <c r="E207" s="49" t="str">
        <f ca="1">IFERROR(__xludf.DUMMYFUNCTION("""COMPUTED_VALUE"""),"06670160")</f>
        <v>06670160</v>
      </c>
      <c r="F207" s="48" t="str">
        <f ca="1">IFERROR(__xludf.DUMMYFUNCTION("""COMPUTED_VALUE"""),"T.T.Haguenau Wissembourg")</f>
        <v>T.T.Haguenau Wissembourg</v>
      </c>
      <c r="G207" s="50" t="str">
        <f ca="1">IFERROR(__xludf.DUMMYFUNCTION("""COMPUTED_VALUE"""),"CD67")</f>
        <v>CD67</v>
      </c>
      <c r="H207" s="50" t="str">
        <f ca="1">IFERROR(__xludf.DUMMYFUNCTION("""COMPUTED_VALUE"""),"actif")</f>
        <v>actif</v>
      </c>
    </row>
    <row r="208" spans="1:8" ht="12.75">
      <c r="A208" s="46">
        <f ca="1">IFERROR(__xludf.DUMMYFUNCTION("""COMPUTED_VALUE"""),196)</f>
        <v>196</v>
      </c>
      <c r="B208" s="65" t="str">
        <f ca="1">IFERROR(__xludf.DUMMYFUNCTION("""COMPUTED_VALUE"""),"883146")</f>
        <v>883146</v>
      </c>
      <c r="C208" s="48" t="str">
        <f ca="1">IFERROR(__xludf.DUMMYFUNCTION("""COMPUTED_VALUE"""),"FRITSCH")</f>
        <v>FRITSCH</v>
      </c>
      <c r="D208" s="48" t="str">
        <f ca="1">IFERROR(__xludf.DUMMYFUNCTION("""COMPUTED_VALUE"""),"Joel")</f>
        <v>Joel</v>
      </c>
      <c r="E208" s="49" t="str">
        <f ca="1">IFERROR(__xludf.DUMMYFUNCTION("""COMPUTED_VALUE"""),"06880145")</f>
        <v>06880145</v>
      </c>
      <c r="F208" s="48" t="str">
        <f ca="1">IFERROR(__xludf.DUMMYFUNCTION("""COMPUTED_VALUE"""),"THAON CHENIMENIL E.S.T.T.")</f>
        <v>THAON CHENIMENIL E.S.T.T.</v>
      </c>
      <c r="G208" s="50" t="str">
        <f ca="1">IFERROR(__xludf.DUMMYFUNCTION("""COMPUTED_VALUE"""),"CD88")</f>
        <v>CD88</v>
      </c>
      <c r="H208" s="50" t="str">
        <f ca="1">IFERROR(__xludf.DUMMYFUNCTION("""COMPUTED_VALUE"""),"inactivité 2ème année")</f>
        <v>inactivité 2ème année</v>
      </c>
    </row>
    <row r="209" spans="1:8" ht="12.75">
      <c r="A209" s="46">
        <f ca="1">IFERROR(__xludf.DUMMYFUNCTION("""COMPUTED_VALUE"""),197)</f>
        <v>197</v>
      </c>
      <c r="B209" s="65" t="str">
        <f ca="1">IFERROR(__xludf.DUMMYFUNCTION("""COMPUTED_VALUE"""),"6813455")</f>
        <v>6813455</v>
      </c>
      <c r="C209" s="48" t="str">
        <f ca="1">IFERROR(__xludf.DUMMYFUNCTION("""COMPUTED_VALUE"""),"FUCHS")</f>
        <v>FUCHS</v>
      </c>
      <c r="D209" s="48" t="str">
        <f ca="1">IFERROR(__xludf.DUMMYFUNCTION("""COMPUTED_VALUE"""),"Jeremy")</f>
        <v>Jeremy</v>
      </c>
      <c r="E209" s="49" t="str">
        <f ca="1">IFERROR(__xludf.DUMMYFUNCTION("""COMPUTED_VALUE"""),"06680105")</f>
        <v>06680105</v>
      </c>
      <c r="F209" s="48" t="str">
        <f ca="1">IFERROR(__xludf.DUMMYFUNCTION("""COMPUTED_VALUE"""),"MULHOUSE TENNIS DE TABLE")</f>
        <v>MULHOUSE TENNIS DE TABLE</v>
      </c>
      <c r="G209" s="50" t="str">
        <f ca="1">IFERROR(__xludf.DUMMYFUNCTION("""COMPUTED_VALUE"""),"CD68")</f>
        <v>CD68</v>
      </c>
      <c r="H209" s="50" t="str">
        <f ca="1">IFERROR(__xludf.DUMMYFUNCTION("""COMPUTED_VALUE"""),"inactivité 1ère année")</f>
        <v>inactivité 1ère année</v>
      </c>
    </row>
    <row r="210" spans="1:8" ht="12.75">
      <c r="A210" s="46">
        <f ca="1">IFERROR(__xludf.DUMMYFUNCTION("""COMPUTED_VALUE"""),198)</f>
        <v>198</v>
      </c>
      <c r="B210" s="65" t="str">
        <f ca="1">IFERROR(__xludf.DUMMYFUNCTION("""COMPUTED_VALUE"""),"57263")</f>
        <v>57263</v>
      </c>
      <c r="C210" s="48" t="str">
        <f ca="1">IFERROR(__xludf.DUMMYFUNCTION("""COMPUTED_VALUE"""),"GABRIEL")</f>
        <v>GABRIEL</v>
      </c>
      <c r="D210" s="48" t="str">
        <f ca="1">IFERROR(__xludf.DUMMYFUNCTION("""COMPUTED_VALUE"""),"Michele")</f>
        <v>Michele</v>
      </c>
      <c r="E210" s="49" t="str">
        <f ca="1">IFERROR(__xludf.DUMMYFUNCTION("""COMPUTED_VALUE"""),"06570018")</f>
        <v>06570018</v>
      </c>
      <c r="F210" s="48" t="str">
        <f ca="1">IFERROR(__xludf.DUMMYFUNCTION("""COMPUTED_VALUE"""),"OBERGAILBACH U.P.")</f>
        <v>OBERGAILBACH U.P.</v>
      </c>
      <c r="G210" s="50" t="str">
        <f ca="1">IFERROR(__xludf.DUMMYFUNCTION("""COMPUTED_VALUE"""),"CD57")</f>
        <v>CD57</v>
      </c>
      <c r="H210" s="50" t="str">
        <f ca="1">IFERROR(__xludf.DUMMYFUNCTION("""COMPUTED_VALUE"""),"inactivité 1ère année")</f>
        <v>inactivité 1ère année</v>
      </c>
    </row>
    <row r="211" spans="1:8" ht="12.75">
      <c r="A211" s="46">
        <f ca="1">IFERROR(__xludf.DUMMYFUNCTION("""COMPUTED_VALUE"""),199)</f>
        <v>199</v>
      </c>
      <c r="B211" s="65" t="str">
        <f ca="1">IFERROR(__xludf.DUMMYFUNCTION("""COMPUTED_VALUE"""),"5112702")</f>
        <v>5112702</v>
      </c>
      <c r="C211" s="48" t="str">
        <f ca="1">IFERROR(__xludf.DUMMYFUNCTION("""COMPUTED_VALUE"""),"GAIGNER")</f>
        <v>GAIGNER</v>
      </c>
      <c r="D211" s="48" t="str">
        <f ca="1">IFERROR(__xludf.DUMMYFUNCTION("""COMPUTED_VALUE"""),"Florian")</f>
        <v>Florian</v>
      </c>
      <c r="E211" s="49" t="str">
        <f ca="1">IFERROR(__xludf.DUMMYFUNCTION("""COMPUTED_VALUE"""),"06510001")</f>
        <v>06510001</v>
      </c>
      <c r="F211" s="48" t="str">
        <f ca="1">IFERROR(__xludf.DUMMYFUNCTION("""COMPUTED_VALUE"""),"REIMS OLYMPIQUE TT")</f>
        <v>REIMS OLYMPIQUE TT</v>
      </c>
      <c r="G211" s="50" t="str">
        <f ca="1">IFERROR(__xludf.DUMMYFUNCTION("""COMPUTED_VALUE"""),"CD51")</f>
        <v>CD51</v>
      </c>
      <c r="H211" s="50" t="str">
        <f ca="1">IFERROR(__xludf.DUMMYFUNCTION("""COMPUTED_VALUE"""),"inactivité 1ère année")</f>
        <v>inactivité 1ère année</v>
      </c>
    </row>
    <row r="212" spans="1:8" ht="12.75">
      <c r="A212" s="46">
        <f ca="1">IFERROR(__xludf.DUMMYFUNCTION("""COMPUTED_VALUE"""),200)</f>
        <v>200</v>
      </c>
      <c r="B212" s="65" t="str">
        <f ca="1">IFERROR(__xludf.DUMMYFUNCTION("""COMPUTED_VALUE"""),"5199")</f>
        <v>5199</v>
      </c>
      <c r="C212" s="48" t="str">
        <f ca="1">IFERROR(__xludf.DUMMYFUNCTION("""COMPUTED_VALUE"""),"GALLOIS")</f>
        <v>GALLOIS</v>
      </c>
      <c r="D212" s="48" t="str">
        <f ca="1">IFERROR(__xludf.DUMMYFUNCTION("""COMPUTED_VALUE"""),"Christian")</f>
        <v>Christian</v>
      </c>
      <c r="E212" s="49" t="str">
        <f ca="1">IFERROR(__xludf.DUMMYFUNCTION("""COMPUTED_VALUE"""),"06510112")</f>
        <v>06510112</v>
      </c>
      <c r="F212" s="48" t="str">
        <f ca="1">IFERROR(__xludf.DUMMYFUNCTION("""COMPUTED_VALUE"""),"CHALONS-EN-CHAMPAGNE TT")</f>
        <v>CHALONS-EN-CHAMPAGNE TT</v>
      </c>
      <c r="G212" s="50" t="str">
        <f ca="1">IFERROR(__xludf.DUMMYFUNCTION("""COMPUTED_VALUE"""),"CD51")</f>
        <v>CD51</v>
      </c>
      <c r="H212" s="50" t="str">
        <f ca="1">IFERROR(__xludf.DUMMYFUNCTION("""COMPUTED_VALUE"""),"inactivité 1ère année")</f>
        <v>inactivité 1ère année</v>
      </c>
    </row>
    <row r="213" spans="1:8" ht="12.75">
      <c r="A213" s="46">
        <f ca="1">IFERROR(__xludf.DUMMYFUNCTION("""COMPUTED_VALUE"""),201)</f>
        <v>201</v>
      </c>
      <c r="B213" s="65" t="str">
        <f ca="1">IFERROR(__xludf.DUMMYFUNCTION("""COMPUTED_VALUE"""),"10398")</f>
        <v>10398</v>
      </c>
      <c r="C213" s="48" t="str">
        <f ca="1">IFERROR(__xludf.DUMMYFUNCTION("""COMPUTED_VALUE"""),"GALLOIS")</f>
        <v>GALLOIS</v>
      </c>
      <c r="D213" s="48" t="str">
        <f ca="1">IFERROR(__xludf.DUMMYFUNCTION("""COMPUTED_VALUE"""),"Yves")</f>
        <v>Yves</v>
      </c>
      <c r="E213" s="49" t="str">
        <f ca="1">IFERROR(__xludf.DUMMYFUNCTION("""COMPUTED_VALUE"""),"06100021")</f>
        <v>06100021</v>
      </c>
      <c r="F213" s="48" t="str">
        <f ca="1">IFERROR(__xludf.DUMMYFUNCTION("""COMPUTED_VALUE"""),"ARCIS ASATT")</f>
        <v>ARCIS ASATT</v>
      </c>
      <c r="G213" s="50" t="str">
        <f ca="1">IFERROR(__xludf.DUMMYFUNCTION("""COMPUTED_VALUE"""),"CD10")</f>
        <v>CD10</v>
      </c>
      <c r="H213" s="50" t="str">
        <f ca="1">IFERROR(__xludf.DUMMYFUNCTION("""COMPUTED_VALUE"""),"inactivité 3ème année")</f>
        <v>inactivité 3ème année</v>
      </c>
    </row>
    <row r="214" spans="1:8" ht="12.75">
      <c r="A214" s="46">
        <f ca="1">IFERROR(__xludf.DUMMYFUNCTION("""COMPUTED_VALUE"""),202)</f>
        <v>202</v>
      </c>
      <c r="B214" s="65" t="str">
        <f ca="1">IFERROR(__xludf.DUMMYFUNCTION("""COMPUTED_VALUE"""),"102084")</f>
        <v>102084</v>
      </c>
      <c r="C214" s="48" t="str">
        <f ca="1">IFERROR(__xludf.DUMMYFUNCTION("""COMPUTED_VALUE"""),"GANDON")</f>
        <v>GANDON</v>
      </c>
      <c r="D214" s="48" t="str">
        <f ca="1">IFERROR(__xludf.DUMMYFUNCTION("""COMPUTED_VALUE"""),"Cyrille")</f>
        <v>Cyrille</v>
      </c>
      <c r="E214" s="49" t="str">
        <f ca="1">IFERROR(__xludf.DUMMYFUNCTION("""COMPUTED_VALUE"""),"06100040")</f>
        <v>06100040</v>
      </c>
      <c r="F214" s="48" t="str">
        <f ca="1">IFERROR(__xludf.DUMMYFUNCTION("""COMPUTED_VALUE"""),"ROMILLY-VILLENAUXE CAP")</f>
        <v>ROMILLY-VILLENAUXE CAP</v>
      </c>
      <c r="G214" s="50" t="str">
        <f ca="1">IFERROR(__xludf.DUMMYFUNCTION("""COMPUTED_VALUE"""),"CD10")</f>
        <v>CD10</v>
      </c>
      <c r="H214" s="50" t="str">
        <f ca="1">IFERROR(__xludf.DUMMYFUNCTION("""COMPUTED_VALUE"""),"inactivité 1ère année")</f>
        <v>inactivité 1ère année</v>
      </c>
    </row>
    <row r="215" spans="1:8" ht="12.75">
      <c r="A215" s="46">
        <f ca="1">IFERROR(__xludf.DUMMYFUNCTION("""COMPUTED_VALUE"""),203)</f>
        <v>203</v>
      </c>
      <c r="B215" s="65" t="str">
        <f ca="1">IFERROR(__xludf.DUMMYFUNCTION("""COMPUTED_VALUE"""),"0812547")</f>
        <v>0812547</v>
      </c>
      <c r="C215" s="48" t="str">
        <f ca="1">IFERROR(__xludf.DUMMYFUNCTION("""COMPUTED_VALUE"""),"GAUDION")</f>
        <v>GAUDION</v>
      </c>
      <c r="D215" s="48" t="str">
        <f ca="1">IFERROR(__xludf.DUMMYFUNCTION("""COMPUTED_VALUE"""),"Eric")</f>
        <v>Eric</v>
      </c>
      <c r="E215" s="49" t="str">
        <f ca="1">IFERROR(__xludf.DUMMYFUNCTION("""COMPUTED_VALUE"""),"06080035")</f>
        <v>06080035</v>
      </c>
      <c r="F215" s="48" t="str">
        <f ca="1">IFERROR(__xludf.DUMMYFUNCTION("""COMPUTED_VALUE"""),"CHARLEVILLE MEZIERES ARDENNES TT")</f>
        <v>CHARLEVILLE MEZIERES ARDENNES TT</v>
      </c>
      <c r="G215" s="50" t="str">
        <f ca="1">IFERROR(__xludf.DUMMYFUNCTION("""COMPUTED_VALUE"""),"CD08")</f>
        <v>CD08</v>
      </c>
      <c r="H215" s="50" t="str">
        <f ca="1">IFERROR(__xludf.DUMMYFUNCTION("""COMPUTED_VALUE"""),"actif")</f>
        <v>actif</v>
      </c>
    </row>
    <row r="216" spans="1:8" ht="12.75">
      <c r="A216" s="46">
        <f ca="1">IFERROR(__xludf.DUMMYFUNCTION("""COMPUTED_VALUE"""),204)</f>
        <v>204</v>
      </c>
      <c r="B216" s="65" t="str">
        <f ca="1">IFERROR(__xludf.DUMMYFUNCTION("""COMPUTED_VALUE"""),"0812724")</f>
        <v>0812724</v>
      </c>
      <c r="C216" s="48" t="str">
        <f ca="1">IFERROR(__xludf.DUMMYFUNCTION("""COMPUTED_VALUE"""),"GAUDION")</f>
        <v>GAUDION</v>
      </c>
      <c r="D216" s="48" t="str">
        <f ca="1">IFERROR(__xludf.DUMMYFUNCTION("""COMPUTED_VALUE"""),"Romane")</f>
        <v>Romane</v>
      </c>
      <c r="E216" s="49" t="str">
        <f ca="1">IFERROR(__xludf.DUMMYFUNCTION("""COMPUTED_VALUE"""),"06080035")</f>
        <v>06080035</v>
      </c>
      <c r="F216" s="48" t="str">
        <f ca="1">IFERROR(__xludf.DUMMYFUNCTION("""COMPUTED_VALUE"""),"CHARLEVILLE MEZIERES ARDENNES TT")</f>
        <v>CHARLEVILLE MEZIERES ARDENNES TT</v>
      </c>
      <c r="G216" s="50" t="str">
        <f ca="1">IFERROR(__xludf.DUMMYFUNCTION("""COMPUTED_VALUE"""),"CD08")</f>
        <v>CD08</v>
      </c>
      <c r="H216" s="50" t="str">
        <f ca="1">IFERROR(__xludf.DUMMYFUNCTION("""COMPUTED_VALUE"""),"actif")</f>
        <v>actif</v>
      </c>
    </row>
    <row r="217" spans="1:8" ht="12.75">
      <c r="A217" s="46">
        <f ca="1">IFERROR(__xludf.DUMMYFUNCTION("""COMPUTED_VALUE"""),205)</f>
        <v>205</v>
      </c>
      <c r="B217" s="65" t="str">
        <f ca="1">IFERROR(__xludf.DUMMYFUNCTION("""COMPUTED_VALUE"""),"0812548")</f>
        <v>0812548</v>
      </c>
      <c r="C217" s="48" t="str">
        <f ca="1">IFERROR(__xludf.DUMMYFUNCTION("""COMPUTED_VALUE"""),"GAUDION")</f>
        <v>GAUDION</v>
      </c>
      <c r="D217" s="48" t="str">
        <f ca="1">IFERROR(__xludf.DUMMYFUNCTION("""COMPUTED_VALUE"""),"Nathan")</f>
        <v>Nathan</v>
      </c>
      <c r="E217" s="49" t="str">
        <f ca="1">IFERROR(__xludf.DUMMYFUNCTION("""COMPUTED_VALUE"""),"06080035")</f>
        <v>06080035</v>
      </c>
      <c r="F217" s="48" t="str">
        <f ca="1">IFERROR(__xludf.DUMMYFUNCTION("""COMPUTED_VALUE"""),"CHARLEVILLE MEZIERES ARDENNES TT")</f>
        <v>CHARLEVILLE MEZIERES ARDENNES TT</v>
      </c>
      <c r="G217" s="50" t="str">
        <f ca="1">IFERROR(__xludf.DUMMYFUNCTION("""COMPUTED_VALUE"""),"CD08")</f>
        <v>CD08</v>
      </c>
      <c r="H217" s="50" t="str">
        <f ca="1">IFERROR(__xludf.DUMMYFUNCTION("""COMPUTED_VALUE"""),"actif")</f>
        <v>actif</v>
      </c>
    </row>
    <row r="218" spans="1:8" ht="12.75">
      <c r="A218" s="46">
        <f ca="1">IFERROR(__xludf.DUMMYFUNCTION("""COMPUTED_VALUE"""),206)</f>
        <v>206</v>
      </c>
      <c r="B218" s="65" t="str">
        <f ca="1">IFERROR(__xludf.DUMMYFUNCTION("""COMPUTED_VALUE"""),"5411591")</f>
        <v>5411591</v>
      </c>
      <c r="C218" s="48" t="str">
        <f ca="1">IFERROR(__xludf.DUMMYFUNCTION("""COMPUTED_VALUE"""),"GAUTHIER")</f>
        <v>GAUTHIER</v>
      </c>
      <c r="D218" s="48" t="str">
        <f ca="1">IFERROR(__xludf.DUMMYFUNCTION("""COMPUTED_VALUE"""),"Dominique")</f>
        <v>Dominique</v>
      </c>
      <c r="E218" s="49" t="str">
        <f ca="1">IFERROR(__xludf.DUMMYFUNCTION("""COMPUTED_VALUE"""),"06540008")</f>
        <v>06540008</v>
      </c>
      <c r="F218" s="48" t="str">
        <f ca="1">IFERROR(__xludf.DUMMYFUNCTION("""COMPUTED_VALUE"""),"ESSEY-SEICHAMPS T.T.")</f>
        <v>ESSEY-SEICHAMPS T.T.</v>
      </c>
      <c r="G218" s="50" t="str">
        <f ca="1">IFERROR(__xludf.DUMMYFUNCTION("""COMPUTED_VALUE"""),"CD54")</f>
        <v>CD54</v>
      </c>
      <c r="H218" s="50" t="str">
        <f ca="1">IFERROR(__xludf.DUMMYFUNCTION("""COMPUTED_VALUE"""),"inactivité 1ère année")</f>
        <v>inactivité 1ère année</v>
      </c>
    </row>
    <row r="219" spans="1:8" ht="12.75">
      <c r="A219" s="46">
        <f ca="1">IFERROR(__xludf.DUMMYFUNCTION("""COMPUTED_VALUE"""),207)</f>
        <v>207</v>
      </c>
      <c r="B219" s="65" t="str">
        <f ca="1">IFERROR(__xludf.DUMMYFUNCTION("""COMPUTED_VALUE"""),"5430151")</f>
        <v>5430151</v>
      </c>
      <c r="C219" s="48" t="str">
        <f ca="1">IFERROR(__xludf.DUMMYFUNCTION("""COMPUTED_VALUE"""),"GAZEILLES")</f>
        <v>GAZEILLES</v>
      </c>
      <c r="D219" s="48" t="str">
        <f ca="1">IFERROR(__xludf.DUMMYFUNCTION("""COMPUTED_VALUE"""),"Stanislas")</f>
        <v>Stanislas</v>
      </c>
      <c r="E219" s="49" t="str">
        <f ca="1">IFERROR(__xludf.DUMMYFUNCTION("""COMPUTED_VALUE"""),"06540043")</f>
        <v>06540043</v>
      </c>
      <c r="F219" s="48" t="str">
        <f ca="1">IFERROR(__xludf.DUMMYFUNCTION("""COMPUTED_VALUE"""),"NANCY S.L.U.C.")</f>
        <v>NANCY S.L.U.C.</v>
      </c>
      <c r="G219" s="50" t="str">
        <f ca="1">IFERROR(__xludf.DUMMYFUNCTION("""COMPUTED_VALUE"""),"CD54")</f>
        <v>CD54</v>
      </c>
      <c r="H219" s="50" t="str">
        <f ca="1">IFERROR(__xludf.DUMMYFUNCTION("""COMPUTED_VALUE"""),"inactivité 1ère année")</f>
        <v>inactivité 1ère année</v>
      </c>
    </row>
    <row r="220" spans="1:8" ht="12.75">
      <c r="A220" s="46">
        <f ca="1">IFERROR(__xludf.DUMMYFUNCTION("""COMPUTED_VALUE"""),208)</f>
        <v>208</v>
      </c>
      <c r="B220" s="65" t="str">
        <f ca="1">IFERROR(__xludf.DUMMYFUNCTION("""COMPUTED_VALUE"""),"54433")</f>
        <v>54433</v>
      </c>
      <c r="C220" s="48" t="str">
        <f ca="1">IFERROR(__xludf.DUMMYFUNCTION("""COMPUTED_VALUE"""),"GEOFFROY")</f>
        <v>GEOFFROY</v>
      </c>
      <c r="D220" s="48" t="str">
        <f ca="1">IFERROR(__xludf.DUMMYFUNCTION("""COMPUTED_VALUE"""),"Alain")</f>
        <v>Alain</v>
      </c>
      <c r="E220" s="49" t="str">
        <f ca="1">IFERROR(__xludf.DUMMYFUNCTION("""COMPUTED_VALUE"""),"06540020")</f>
        <v>06540020</v>
      </c>
      <c r="F220" s="48" t="str">
        <f ca="1">IFERROR(__xludf.DUMMYFUNCTION("""COMPUTED_VALUE"""),"DOMBASLE STT")</f>
        <v>DOMBASLE STT</v>
      </c>
      <c r="G220" s="50" t="str">
        <f ca="1">IFERROR(__xludf.DUMMYFUNCTION("""COMPUTED_VALUE"""),"CD54")</f>
        <v>CD54</v>
      </c>
      <c r="H220" s="50" t="str">
        <f ca="1">IFERROR(__xludf.DUMMYFUNCTION("""COMPUTED_VALUE"""),"inactivité 2ème année")</f>
        <v>inactivité 2ème année</v>
      </c>
    </row>
    <row r="221" spans="1:8" ht="12.75">
      <c r="A221" s="46">
        <f ca="1">IFERROR(__xludf.DUMMYFUNCTION("""COMPUTED_VALUE"""),209)</f>
        <v>209</v>
      </c>
      <c r="B221" s="65" t="str">
        <f ca="1">IFERROR(__xludf.DUMMYFUNCTION("""COMPUTED_VALUE"""),"889331")</f>
        <v>889331</v>
      </c>
      <c r="C221" s="48" t="str">
        <f ca="1">IFERROR(__xludf.DUMMYFUNCTION("""COMPUTED_VALUE"""),"GEORGES")</f>
        <v>GEORGES</v>
      </c>
      <c r="D221" s="48" t="str">
        <f ca="1">IFERROR(__xludf.DUMMYFUNCTION("""COMPUTED_VALUE"""),"Alex")</f>
        <v>Alex</v>
      </c>
      <c r="E221" s="49" t="str">
        <f ca="1">IFERROR(__xludf.DUMMYFUNCTION("""COMPUTED_VALUE"""),"06540193")</f>
        <v>06540193</v>
      </c>
      <c r="F221" s="48" t="str">
        <f ca="1">IFERROR(__xludf.DUMMYFUNCTION("""COMPUTED_VALUE"""),"BACCARAT ABTT")</f>
        <v>BACCARAT ABTT</v>
      </c>
      <c r="G221" s="50" t="str">
        <f ca="1">IFERROR(__xludf.DUMMYFUNCTION("""COMPUTED_VALUE"""),"CD54")</f>
        <v>CD54</v>
      </c>
      <c r="H221" s="50" t="str">
        <f ca="1">IFERROR(__xludf.DUMMYFUNCTION("""COMPUTED_VALUE"""),"inactivité 3ème année")</f>
        <v>inactivité 3ème année</v>
      </c>
    </row>
    <row r="222" spans="1:8" ht="12.75">
      <c r="A222" s="46">
        <f ca="1">IFERROR(__xludf.DUMMYFUNCTION("""COMPUTED_VALUE"""),210)</f>
        <v>210</v>
      </c>
      <c r="B222" s="65" t="str">
        <f ca="1">IFERROR(__xludf.DUMMYFUNCTION("""COMPUTED_VALUE"""),"5713660")</f>
        <v>5713660</v>
      </c>
      <c r="C222" s="48" t="str">
        <f ca="1">IFERROR(__xludf.DUMMYFUNCTION("""COMPUTED_VALUE"""),"GEORGIN")</f>
        <v>GEORGIN</v>
      </c>
      <c r="D222" s="48" t="str">
        <f ca="1">IFERROR(__xludf.DUMMYFUNCTION("""COMPUTED_VALUE"""),"Cyril")</f>
        <v>Cyril</v>
      </c>
      <c r="E222" s="49" t="str">
        <f ca="1">IFERROR(__xludf.DUMMYFUNCTION("""COMPUTED_VALUE"""),"06570007")</f>
        <v>06570007</v>
      </c>
      <c r="F222" s="48" t="str">
        <f ca="1">IFERROR(__xludf.DUMMYFUNCTION("""COMPUTED_VALUE"""),"HAGONDANGE E.S.")</f>
        <v>HAGONDANGE E.S.</v>
      </c>
      <c r="G222" s="50" t="str">
        <f ca="1">IFERROR(__xludf.DUMMYFUNCTION("""COMPUTED_VALUE"""),"CD57")</f>
        <v>CD57</v>
      </c>
      <c r="H222" s="50" t="str">
        <f ca="1">IFERROR(__xludf.DUMMYFUNCTION("""COMPUTED_VALUE"""),"inactivité 1ère année")</f>
        <v>inactivité 1ère année</v>
      </c>
    </row>
    <row r="223" spans="1:8" ht="12.75">
      <c r="A223" s="46">
        <f ca="1">IFERROR(__xludf.DUMMYFUNCTION("""COMPUTED_VALUE"""),211)</f>
        <v>211</v>
      </c>
      <c r="B223" s="65" t="str">
        <f ca="1">IFERROR(__xludf.DUMMYFUNCTION("""COMPUTED_VALUE"""),"5419525")</f>
        <v>5419525</v>
      </c>
      <c r="C223" s="48" t="str">
        <f ca="1">IFERROR(__xludf.DUMMYFUNCTION("""COMPUTED_VALUE"""),"GERARD")</f>
        <v>GERARD</v>
      </c>
      <c r="D223" s="48" t="str">
        <f ca="1">IFERROR(__xludf.DUMMYFUNCTION("""COMPUTED_VALUE"""),"Anthony")</f>
        <v>Anthony</v>
      </c>
      <c r="E223" s="49" t="str">
        <f ca="1">IFERROR(__xludf.DUMMYFUNCTION("""COMPUTED_VALUE"""),"06540193")</f>
        <v>06540193</v>
      </c>
      <c r="F223" s="48" t="str">
        <f ca="1">IFERROR(__xludf.DUMMYFUNCTION("""COMPUTED_VALUE"""),"BACCARAT ABTT")</f>
        <v>BACCARAT ABTT</v>
      </c>
      <c r="G223" s="50" t="str">
        <f ca="1">IFERROR(__xludf.DUMMYFUNCTION("""COMPUTED_VALUE"""),"CD54")</f>
        <v>CD54</v>
      </c>
      <c r="H223" s="50" t="str">
        <f ca="1">IFERROR(__xludf.DUMMYFUNCTION("""COMPUTED_VALUE"""),"inactivité 3ème année")</f>
        <v>inactivité 3ème année</v>
      </c>
    </row>
    <row r="224" spans="1:8" ht="12.75">
      <c r="A224" s="46">
        <f ca="1">IFERROR(__xludf.DUMMYFUNCTION("""COMPUTED_VALUE"""),212)</f>
        <v>212</v>
      </c>
      <c r="B224" s="65" t="str">
        <f ca="1">IFERROR(__xludf.DUMMYFUNCTION("""COMPUTED_VALUE"""),"551338")</f>
        <v>551338</v>
      </c>
      <c r="C224" s="48" t="str">
        <f ca="1">IFERROR(__xludf.DUMMYFUNCTION("""COMPUTED_VALUE"""),"GERMAIN")</f>
        <v>GERMAIN</v>
      </c>
      <c r="D224" s="71" t="str">
        <f ca="1">IFERROR(__xludf.DUMMYFUNCTION("""COMPUTED_VALUE"""),"Catherine")</f>
        <v>Catherine</v>
      </c>
      <c r="E224" s="73" t="str">
        <f ca="1">IFERROR(__xludf.DUMMYFUNCTION("""COMPUTED_VALUE"""),"06550020")</f>
        <v>06550020</v>
      </c>
      <c r="F224" s="72" t="str">
        <f ca="1">IFERROR(__xludf.DUMMYFUNCTION("""COMPUTED_VALUE"""),"FAINS LES SOURCES AEL")</f>
        <v>FAINS LES SOURCES AEL</v>
      </c>
      <c r="G224" s="52" t="str">
        <f ca="1">IFERROR(__xludf.DUMMYFUNCTION("""COMPUTED_VALUE"""),"CD55")</f>
        <v>CD55</v>
      </c>
      <c r="H224" s="52" t="str">
        <f ca="1">IFERROR(__xludf.DUMMYFUNCTION("""COMPUTED_VALUE"""),"actif")</f>
        <v>actif</v>
      </c>
    </row>
    <row r="225" spans="1:8" ht="12.75">
      <c r="A225" s="46">
        <f ca="1">IFERROR(__xludf.DUMMYFUNCTION("""COMPUTED_VALUE"""),213)</f>
        <v>213</v>
      </c>
      <c r="B225" s="65" t="str">
        <f ca="1">IFERROR(__xludf.DUMMYFUNCTION("""COMPUTED_VALUE"""),"55728")</f>
        <v>55728</v>
      </c>
      <c r="C225" s="48" t="str">
        <f ca="1">IFERROR(__xludf.DUMMYFUNCTION("""COMPUTED_VALUE"""),"GERMAIN")</f>
        <v>GERMAIN</v>
      </c>
      <c r="D225" s="48" t="str">
        <f ca="1">IFERROR(__xludf.DUMMYFUNCTION("""COMPUTED_VALUE"""),"Franck")</f>
        <v>Franck</v>
      </c>
      <c r="E225" s="49" t="str">
        <f ca="1">IFERROR(__xludf.DUMMYFUNCTION("""COMPUTED_VALUE"""),"06550020")</f>
        <v>06550020</v>
      </c>
      <c r="F225" s="48" t="str">
        <f ca="1">IFERROR(__xludf.DUMMYFUNCTION("""COMPUTED_VALUE"""),"FAINS LES SOURCES AEL")</f>
        <v>FAINS LES SOURCES AEL</v>
      </c>
      <c r="G225" s="50" t="str">
        <f ca="1">IFERROR(__xludf.DUMMYFUNCTION("""COMPUTED_VALUE"""),"CD55")</f>
        <v>CD55</v>
      </c>
      <c r="H225" s="50" t="str">
        <f ca="1">IFERROR(__xludf.DUMMYFUNCTION("""COMPUTED_VALUE"""),"inactivité 3ème année")</f>
        <v>inactivité 3ème année</v>
      </c>
    </row>
    <row r="226" spans="1:8" ht="12.75">
      <c r="A226" s="46">
        <f ca="1">IFERROR(__xludf.DUMMYFUNCTION("""COMPUTED_VALUE"""),214)</f>
        <v>214</v>
      </c>
      <c r="B226" s="65" t="str">
        <f ca="1">IFERROR(__xludf.DUMMYFUNCTION("""COMPUTED_VALUE"""),"551768")</f>
        <v>551768</v>
      </c>
      <c r="C226" s="48" t="str">
        <f ca="1">IFERROR(__xludf.DUMMYFUNCTION("""COMPUTED_VALUE"""),"GERMAIN")</f>
        <v>GERMAIN</v>
      </c>
      <c r="D226" s="48" t="str">
        <f ca="1">IFERROR(__xludf.DUMMYFUNCTION("""COMPUTED_VALUE"""),"Laurence")</f>
        <v>Laurence</v>
      </c>
      <c r="E226" s="49" t="str">
        <f ca="1">IFERROR(__xludf.DUMMYFUNCTION("""COMPUTED_VALUE"""),"06540032")</f>
        <v>06540032</v>
      </c>
      <c r="F226" s="48" t="str">
        <f ca="1">IFERROR(__xludf.DUMMYFUNCTION("""COMPUTED_VALUE"""),"NEUVES MAISONS TT")</f>
        <v>NEUVES MAISONS TT</v>
      </c>
      <c r="G226" s="50" t="str">
        <f ca="1">IFERROR(__xludf.DUMMYFUNCTION("""COMPUTED_VALUE"""),"CD54")</f>
        <v>CD54</v>
      </c>
      <c r="H226" s="50" t="str">
        <f ca="1">IFERROR(__xludf.DUMMYFUNCTION("""COMPUTED_VALUE"""),"inactivité 1ère année")</f>
        <v>inactivité 1ère année</v>
      </c>
    </row>
    <row r="227" spans="1:8" ht="12.75">
      <c r="A227" s="46">
        <f ca="1">IFERROR(__xludf.DUMMYFUNCTION("""COMPUTED_VALUE"""),215)</f>
        <v>215</v>
      </c>
      <c r="B227" s="65" t="str">
        <f ca="1">IFERROR(__xludf.DUMMYFUNCTION("""COMPUTED_VALUE"""),"558881")</f>
        <v>558881</v>
      </c>
      <c r="C227" s="48" t="str">
        <f ca="1">IFERROR(__xludf.DUMMYFUNCTION("""COMPUTED_VALUE"""),"GERVASONI")</f>
        <v>GERVASONI</v>
      </c>
      <c r="D227" s="48" t="str">
        <f ca="1">IFERROR(__xludf.DUMMYFUNCTION("""COMPUTED_VALUE"""),"Teo")</f>
        <v>Teo</v>
      </c>
      <c r="E227" s="49" t="str">
        <f ca="1">IFERROR(__xludf.DUMMYFUNCTION("""COMPUTED_VALUE"""),"06550013")</f>
        <v>06550013</v>
      </c>
      <c r="F227" s="48" t="str">
        <f ca="1">IFERROR(__xludf.DUMMYFUNCTION("""COMPUTED_VALUE"""),"VERDUN S.A.V.T.T.")</f>
        <v>VERDUN S.A.V.T.T.</v>
      </c>
      <c r="G227" s="50" t="str">
        <f ca="1">IFERROR(__xludf.DUMMYFUNCTION("""COMPUTED_VALUE"""),"CD55")</f>
        <v>CD55</v>
      </c>
      <c r="H227" s="50" t="str">
        <f ca="1">IFERROR(__xludf.DUMMYFUNCTION("""COMPUTED_VALUE"""),"inactivité 2ème année")</f>
        <v>inactivité 2ème année</v>
      </c>
    </row>
    <row r="228" spans="1:8" ht="12.75">
      <c r="A228" s="46">
        <f ca="1">IFERROR(__xludf.DUMMYFUNCTION("""COMPUTED_VALUE"""),216)</f>
        <v>216</v>
      </c>
      <c r="B228" s="65" t="str">
        <f ca="1">IFERROR(__xludf.DUMMYFUNCTION("""COMPUTED_VALUE"""),"559876")</f>
        <v>559876</v>
      </c>
      <c r="C228" s="48" t="str">
        <f ca="1">IFERROR(__xludf.DUMMYFUNCTION("""COMPUTED_VALUE"""),"GERVASONI")</f>
        <v>GERVASONI</v>
      </c>
      <c r="D228" s="48" t="str">
        <f ca="1">IFERROR(__xludf.DUMMYFUNCTION("""COMPUTED_VALUE"""),"Emmanuel")</f>
        <v>Emmanuel</v>
      </c>
      <c r="E228" s="49" t="str">
        <f ca="1">IFERROR(__xludf.DUMMYFUNCTION("""COMPUTED_VALUE"""),"06550013")</f>
        <v>06550013</v>
      </c>
      <c r="F228" s="48" t="str">
        <f ca="1">IFERROR(__xludf.DUMMYFUNCTION("""COMPUTED_VALUE"""),"VERDUN S.A.V.T.T.")</f>
        <v>VERDUN S.A.V.T.T.</v>
      </c>
      <c r="G228" s="50" t="str">
        <f ca="1">IFERROR(__xludf.DUMMYFUNCTION("""COMPUTED_VALUE"""),"CD55")</f>
        <v>CD55</v>
      </c>
      <c r="H228" s="50" t="str">
        <f ca="1">IFERROR(__xludf.DUMMYFUNCTION("""COMPUTED_VALUE"""),"inactivité 1ère année")</f>
        <v>inactivité 1ère année</v>
      </c>
    </row>
    <row r="229" spans="1:8" ht="12.75">
      <c r="A229" s="46">
        <f ca="1">IFERROR(__xludf.DUMMYFUNCTION("""COMPUTED_VALUE"""),217)</f>
        <v>217</v>
      </c>
      <c r="B229" s="65" t="str">
        <f ca="1">IFERROR(__xludf.DUMMYFUNCTION("""COMPUTED_VALUE"""),"8814056")</f>
        <v>8814056</v>
      </c>
      <c r="C229" s="48" t="str">
        <f ca="1">IFERROR(__xludf.DUMMYFUNCTION("""COMPUTED_VALUE"""),"GIGNEY")</f>
        <v>GIGNEY</v>
      </c>
      <c r="D229" s="48" t="str">
        <f ca="1">IFERROR(__xludf.DUMMYFUNCTION("""COMPUTED_VALUE"""),"Maxime")</f>
        <v>Maxime</v>
      </c>
      <c r="E229" s="49" t="str">
        <f ca="1">IFERROR(__xludf.DUMMYFUNCTION("""COMPUTED_VALUE"""),"06880071")</f>
        <v>06880071</v>
      </c>
      <c r="F229" s="48" t="str">
        <f ca="1">IFERROR(__xludf.DUMMYFUNCTION("""COMPUTED_VALUE"""),"EPINAL T.S.P.")</f>
        <v>EPINAL T.S.P.</v>
      </c>
      <c r="G229" s="50" t="str">
        <f ca="1">IFERROR(__xludf.DUMMYFUNCTION("""COMPUTED_VALUE"""),"CD88")</f>
        <v>CD88</v>
      </c>
      <c r="H229" s="50" t="str">
        <f ca="1">IFERROR(__xludf.DUMMYFUNCTION("""COMPUTED_VALUE"""),"actif")</f>
        <v>actif</v>
      </c>
    </row>
    <row r="230" spans="1:8" ht="12.75">
      <c r="A230" s="46">
        <f ca="1">IFERROR(__xludf.DUMMYFUNCTION("""COMPUTED_VALUE"""),218)</f>
        <v>218</v>
      </c>
      <c r="B230" s="65" t="str">
        <f ca="1">IFERROR(__xludf.DUMMYFUNCTION("""COMPUTED_VALUE"""),"51101")</f>
        <v>51101</v>
      </c>
      <c r="C230" s="48" t="str">
        <f ca="1">IFERROR(__xludf.DUMMYFUNCTION("""COMPUTED_VALUE"""),"GILLE")</f>
        <v>GILLE</v>
      </c>
      <c r="D230" s="48" t="str">
        <f ca="1">IFERROR(__xludf.DUMMYFUNCTION("""COMPUTED_VALUE"""),"Guy")</f>
        <v>Guy</v>
      </c>
      <c r="E230" s="49" t="str">
        <f ca="1">IFERROR(__xludf.DUMMYFUNCTION("""COMPUTED_VALUE"""),"06510112")</f>
        <v>06510112</v>
      </c>
      <c r="F230" s="48" t="str">
        <f ca="1">IFERROR(__xludf.DUMMYFUNCTION("""COMPUTED_VALUE"""),"CHALONS-EN-CHAMPAGNE TT")</f>
        <v>CHALONS-EN-CHAMPAGNE TT</v>
      </c>
      <c r="G230" s="50" t="str">
        <f ca="1">IFERROR(__xludf.DUMMYFUNCTION("""COMPUTED_VALUE"""),"CD51")</f>
        <v>CD51</v>
      </c>
      <c r="H230" s="50" t="str">
        <f ca="1">IFERROR(__xludf.DUMMYFUNCTION("""COMPUTED_VALUE"""),"inactivité 1ère année")</f>
        <v>inactivité 1ère année</v>
      </c>
    </row>
    <row r="231" spans="1:8" ht="12.75">
      <c r="A231" s="46">
        <f ca="1">IFERROR(__xludf.DUMMYFUNCTION("""COMPUTED_VALUE"""),219)</f>
        <v>219</v>
      </c>
      <c r="B231" s="65" t="str">
        <f ca="1">IFERROR(__xludf.DUMMYFUNCTION("""COMPUTED_VALUE"""),"888998")</f>
        <v>888998</v>
      </c>
      <c r="C231" s="48" t="str">
        <f ca="1">IFERROR(__xludf.DUMMYFUNCTION("""COMPUTED_VALUE"""),"GILSON")</f>
        <v>GILSON</v>
      </c>
      <c r="D231" s="48" t="str">
        <f ca="1">IFERROR(__xludf.DUMMYFUNCTION("""COMPUTED_VALUE"""),"Fabien")</f>
        <v>Fabien</v>
      </c>
      <c r="E231" s="49" t="str">
        <f ca="1">IFERROR(__xludf.DUMMYFUNCTION("""COMPUTED_VALUE"""),"06680130")</f>
        <v>06680130</v>
      </c>
      <c r="F231" s="48" t="str">
        <f ca="1">IFERROR(__xludf.DUMMYFUNCTION("""COMPUTED_VALUE"""),"VAL de LIEPVRE ASL")</f>
        <v>VAL de LIEPVRE ASL</v>
      </c>
      <c r="G231" s="50" t="str">
        <f ca="1">IFERROR(__xludf.DUMMYFUNCTION("""COMPUTED_VALUE"""),"CD68")</f>
        <v>CD68</v>
      </c>
      <c r="H231" s="50" t="str">
        <f ca="1">IFERROR(__xludf.DUMMYFUNCTION("""COMPUTED_VALUE"""),"inactivité 1ère année")</f>
        <v>inactivité 1ère année</v>
      </c>
    </row>
    <row r="232" spans="1:8" ht="12.75">
      <c r="A232" s="46">
        <f ca="1">IFERROR(__xludf.DUMMYFUNCTION("""COMPUTED_VALUE"""),220)</f>
        <v>220</v>
      </c>
      <c r="B232" s="65" t="str">
        <f ca="1">IFERROR(__xludf.DUMMYFUNCTION("""COMPUTED_VALUE"""),"516753")</f>
        <v>516753</v>
      </c>
      <c r="C232" s="48" t="str">
        <f ca="1">IFERROR(__xludf.DUMMYFUNCTION("""COMPUTED_VALUE"""),"GIORIA")</f>
        <v>GIORIA</v>
      </c>
      <c r="D232" s="48" t="str">
        <f ca="1">IFERROR(__xludf.DUMMYFUNCTION("""COMPUTED_VALUE"""),"Julien")</f>
        <v>Julien</v>
      </c>
      <c r="E232" s="49" t="str">
        <f ca="1">IFERROR(__xludf.DUMMYFUNCTION("""COMPUTED_VALUE"""),"06510110")</f>
        <v>06510110</v>
      </c>
      <c r="F232" s="48" t="str">
        <f ca="1">IFERROR(__xludf.DUMMYFUNCTION("""COMPUTED_VALUE"""),"CHEPY ASCJ")</f>
        <v>CHEPY ASCJ</v>
      </c>
      <c r="G232" s="50" t="str">
        <f ca="1">IFERROR(__xludf.DUMMYFUNCTION("""COMPUTED_VALUE"""),"CD51")</f>
        <v>CD51</v>
      </c>
      <c r="H232" s="50" t="str">
        <f ca="1">IFERROR(__xludf.DUMMYFUNCTION("""COMPUTED_VALUE"""),"actif")</f>
        <v>actif</v>
      </c>
    </row>
    <row r="233" spans="1:8" ht="12.75">
      <c r="A233" s="46">
        <f ca="1">IFERROR(__xludf.DUMMYFUNCTION("""COMPUTED_VALUE"""),221)</f>
        <v>221</v>
      </c>
      <c r="B233" s="65" t="str">
        <f ca="1">IFERROR(__xludf.DUMMYFUNCTION("""COMPUTED_VALUE"""),"523924")</f>
        <v>523924</v>
      </c>
      <c r="C233" s="48" t="str">
        <f ca="1">IFERROR(__xludf.DUMMYFUNCTION("""COMPUTED_VALUE"""),"GIRAULT")</f>
        <v>GIRAULT</v>
      </c>
      <c r="D233" s="48" t="str">
        <f ca="1">IFERROR(__xludf.DUMMYFUNCTION("""COMPUTED_VALUE"""),"Germain")</f>
        <v>Germain</v>
      </c>
      <c r="E233" s="49" t="str">
        <f ca="1">IFERROR(__xludf.DUMMYFUNCTION("""COMPUTED_VALUE"""),"06100007")</f>
        <v>06100007</v>
      </c>
      <c r="F233" s="48" t="str">
        <f ca="1">IFERROR(__xludf.DUMMYFUNCTION("""COMPUTED_VALUE"""),"ST PARRES AUX TERTRES AST")</f>
        <v>ST PARRES AUX TERTRES AST</v>
      </c>
      <c r="G233" s="50" t="str">
        <f ca="1">IFERROR(__xludf.DUMMYFUNCTION("""COMPUTED_VALUE"""),"CD10")</f>
        <v>CD10</v>
      </c>
      <c r="H233" s="50" t="str">
        <f ca="1">IFERROR(__xludf.DUMMYFUNCTION("""COMPUTED_VALUE"""),"actif")</f>
        <v>actif</v>
      </c>
    </row>
    <row r="234" spans="1:8" ht="12.75">
      <c r="A234" s="46">
        <f ca="1">IFERROR(__xludf.DUMMYFUNCTION("""COMPUTED_VALUE"""),222)</f>
        <v>222</v>
      </c>
      <c r="B234" s="65" t="str">
        <f ca="1">IFERROR(__xludf.DUMMYFUNCTION("""COMPUTED_VALUE"""),"5420909")</f>
        <v>5420909</v>
      </c>
      <c r="C234" s="48" t="str">
        <f ca="1">IFERROR(__xludf.DUMMYFUNCTION("""COMPUTED_VALUE"""),"GOGOLEWSKI")</f>
        <v>GOGOLEWSKI</v>
      </c>
      <c r="D234" s="48" t="str">
        <f ca="1">IFERROR(__xludf.DUMMYFUNCTION("""COMPUTED_VALUE"""),"Kevin")</f>
        <v>Kevin</v>
      </c>
      <c r="E234" s="49" t="str">
        <f ca="1">IFERROR(__xludf.DUMMYFUNCTION("""COMPUTED_VALUE"""),"06540043")</f>
        <v>06540043</v>
      </c>
      <c r="F234" s="48" t="str">
        <f ca="1">IFERROR(__xludf.DUMMYFUNCTION("""COMPUTED_VALUE"""),"NANCY S.L.U.C.")</f>
        <v>NANCY S.L.U.C.</v>
      </c>
      <c r="G234" s="50" t="str">
        <f ca="1">IFERROR(__xludf.DUMMYFUNCTION("""COMPUTED_VALUE"""),"CD54")</f>
        <v>CD54</v>
      </c>
      <c r="H234" s="50" t="str">
        <f ca="1">IFERROR(__xludf.DUMMYFUNCTION("""COMPUTED_VALUE"""),"actif")</f>
        <v>actif</v>
      </c>
    </row>
    <row r="235" spans="1:8" ht="12.75">
      <c r="A235" s="46">
        <f ca="1">IFERROR(__xludf.DUMMYFUNCTION("""COMPUTED_VALUE"""),223)</f>
        <v>223</v>
      </c>
      <c r="B235" s="65" t="str">
        <f ca="1">IFERROR(__xludf.DUMMYFUNCTION("""COMPUTED_VALUE"""),"6710667")</f>
        <v>6710667</v>
      </c>
      <c r="C235" s="48" t="str">
        <f ca="1">IFERROR(__xludf.DUMMYFUNCTION("""COMPUTED_VALUE"""),"GRABHERR")</f>
        <v>GRABHERR</v>
      </c>
      <c r="D235" s="48" t="str">
        <f ca="1">IFERROR(__xludf.DUMMYFUNCTION("""COMPUTED_VALUE"""),"Jean-Marc")</f>
        <v>Jean-Marc</v>
      </c>
      <c r="E235" s="49" t="str">
        <f ca="1">IFERROR(__xludf.DUMMYFUNCTION("""COMPUTED_VALUE"""),"06570029")</f>
        <v>06570029</v>
      </c>
      <c r="F235" s="48" t="str">
        <f ca="1">IFERROR(__xludf.DUMMYFUNCTION("""COMPUTED_VALUE"""),"WILLERWALD A.S.")</f>
        <v>WILLERWALD A.S.</v>
      </c>
      <c r="G235" s="50" t="str">
        <f ca="1">IFERROR(__xludf.DUMMYFUNCTION("""COMPUTED_VALUE"""),"CD57")</f>
        <v>CD57</v>
      </c>
      <c r="H235" s="50" t="str">
        <f ca="1">IFERROR(__xludf.DUMMYFUNCTION("""COMPUTED_VALUE"""),"inactivité 1ère année")</f>
        <v>inactivité 1ère année</v>
      </c>
    </row>
    <row r="236" spans="1:8" ht="12.75">
      <c r="A236" s="46">
        <f ca="1">IFERROR(__xludf.DUMMYFUNCTION("""COMPUTED_VALUE"""),224)</f>
        <v>224</v>
      </c>
      <c r="B236" s="65" t="str">
        <f ca="1">IFERROR(__xludf.DUMMYFUNCTION("""COMPUTED_VALUE"""),"685891")</f>
        <v>685891</v>
      </c>
      <c r="C236" s="48" t="str">
        <f ca="1">IFERROR(__xludf.DUMMYFUNCTION("""COMPUTED_VALUE"""),"GRANDGEORGE")</f>
        <v>GRANDGEORGE</v>
      </c>
      <c r="D236" s="48" t="str">
        <f ca="1">IFERROR(__xludf.DUMMYFUNCTION("""COMPUTED_VALUE"""),"Odile")</f>
        <v>Odile</v>
      </c>
      <c r="E236" s="49" t="str">
        <f ca="1">IFERROR(__xludf.DUMMYFUNCTION("""COMPUTED_VALUE"""),"06680130")</f>
        <v>06680130</v>
      </c>
      <c r="F236" s="48" t="str">
        <f ca="1">IFERROR(__xludf.DUMMYFUNCTION("""COMPUTED_VALUE"""),"VAL de LIEPVRE ASL")</f>
        <v>VAL de LIEPVRE ASL</v>
      </c>
      <c r="G236" s="50" t="str">
        <f ca="1">IFERROR(__xludf.DUMMYFUNCTION("""COMPUTED_VALUE"""),"CD68")</f>
        <v>CD68</v>
      </c>
      <c r="H236" s="50" t="str">
        <f ca="1">IFERROR(__xludf.DUMMYFUNCTION("""COMPUTED_VALUE"""),"inactivité 1ère année")</f>
        <v>inactivité 1ère année</v>
      </c>
    </row>
    <row r="237" spans="1:8" ht="12.75">
      <c r="A237" s="46">
        <f ca="1">IFERROR(__xludf.DUMMYFUNCTION("""COMPUTED_VALUE"""),225)</f>
        <v>225</v>
      </c>
      <c r="B237" s="65" t="str">
        <f ca="1">IFERROR(__xludf.DUMMYFUNCTION("""COMPUTED_VALUE"""),"6716533")</f>
        <v>6716533</v>
      </c>
      <c r="C237" s="48" t="str">
        <f ca="1">IFERROR(__xludf.DUMMYFUNCTION("""COMPUTED_VALUE"""),"GRANDHOMME")</f>
        <v>GRANDHOMME</v>
      </c>
      <c r="D237" s="48" t="str">
        <f ca="1">IFERROR(__xludf.DUMMYFUNCTION("""COMPUTED_VALUE"""),"Eric")</f>
        <v>Eric</v>
      </c>
      <c r="E237" s="49" t="str">
        <f ca="1">IFERROR(__xludf.DUMMYFUNCTION("""COMPUTED_VALUE"""),"06670115")</f>
        <v>06670115</v>
      </c>
      <c r="F237" s="48" t="str">
        <f ca="1">IFERROR(__xludf.DUMMYFUNCTION("""COMPUTED_VALUE"""),"GUNDERSHOFFEN P79")</f>
        <v>GUNDERSHOFFEN P79</v>
      </c>
      <c r="G237" s="50" t="str">
        <f ca="1">IFERROR(__xludf.DUMMYFUNCTION("""COMPUTED_VALUE"""),"CD67")</f>
        <v>CD67</v>
      </c>
      <c r="H237" s="50" t="str">
        <f ca="1">IFERROR(__xludf.DUMMYFUNCTION("""COMPUTED_VALUE"""),"inactivité 3ème année")</f>
        <v>inactivité 3ème année</v>
      </c>
    </row>
    <row r="238" spans="1:8" ht="12.75">
      <c r="A238" s="46">
        <f ca="1">IFERROR(__xludf.DUMMYFUNCTION("""COMPUTED_VALUE"""),226)</f>
        <v>226</v>
      </c>
      <c r="B238" s="65" t="str">
        <f ca="1">IFERROR(__xludf.DUMMYFUNCTION("""COMPUTED_VALUE"""),"8814395")</f>
        <v>8814395</v>
      </c>
      <c r="C238" s="48" t="str">
        <f ca="1">IFERROR(__xludf.DUMMYFUNCTION("""COMPUTED_VALUE"""),"GRELIER")</f>
        <v>GRELIER</v>
      </c>
      <c r="D238" s="48" t="str">
        <f ca="1">IFERROR(__xludf.DUMMYFUNCTION("""COMPUTED_VALUE"""),"Olivier")</f>
        <v>Olivier</v>
      </c>
      <c r="E238" s="49" t="str">
        <f ca="1">IFERROR(__xludf.DUMMYFUNCTION("""COMPUTED_VALUE"""),"06880073")</f>
        <v>06880073</v>
      </c>
      <c r="F238" s="48" t="str">
        <f ca="1">IFERROR(__xludf.DUMMYFUNCTION("""COMPUTED_VALUE"""),"SAINTE MARGUERITE C.T.T.")</f>
        <v>SAINTE MARGUERITE C.T.T.</v>
      </c>
      <c r="G238" s="50" t="str">
        <f ca="1">IFERROR(__xludf.DUMMYFUNCTION("""COMPUTED_VALUE"""),"CD88")</f>
        <v>CD88</v>
      </c>
      <c r="H238" s="50" t="str">
        <f ca="1">IFERROR(__xludf.DUMMYFUNCTION("""COMPUTED_VALUE"""),"inactivité 3ème année")</f>
        <v>inactivité 3ème année</v>
      </c>
    </row>
    <row r="239" spans="1:8" ht="12.75">
      <c r="A239" s="46">
        <f ca="1">IFERROR(__xludf.DUMMYFUNCTION("""COMPUTED_VALUE"""),227)</f>
        <v>227</v>
      </c>
      <c r="B239" s="65" t="str">
        <f ca="1">IFERROR(__xludf.DUMMYFUNCTION("""COMPUTED_VALUE"""),"574303")</f>
        <v>574303</v>
      </c>
      <c r="C239" s="48" t="str">
        <f ca="1">IFERROR(__xludf.DUMMYFUNCTION("""COMPUTED_VALUE"""),"GREVIN")</f>
        <v>GREVIN</v>
      </c>
      <c r="D239" s="48" t="str">
        <f ca="1">IFERROR(__xludf.DUMMYFUNCTION("""COMPUTED_VALUE"""),"Anneline")</f>
        <v>Anneline</v>
      </c>
      <c r="E239" s="49" t="str">
        <f ca="1">IFERROR(__xludf.DUMMYFUNCTION("""COMPUTED_VALUE"""),"06570019")</f>
        <v>06570019</v>
      </c>
      <c r="F239" s="48" t="str">
        <f ca="1">IFERROR(__xludf.DUMMYFUNCTION("""COMPUTED_VALUE"""),"SAINT AVOLD C.T.T.")</f>
        <v>SAINT AVOLD C.T.T.</v>
      </c>
      <c r="G239" s="50" t="str">
        <f ca="1">IFERROR(__xludf.DUMMYFUNCTION("""COMPUTED_VALUE"""),"CD57")</f>
        <v>CD57</v>
      </c>
      <c r="H239" s="50" t="str">
        <f ca="1">IFERROR(__xludf.DUMMYFUNCTION("""COMPUTED_VALUE"""),"actif")</f>
        <v>actif</v>
      </c>
    </row>
    <row r="240" spans="1:8" ht="12.75">
      <c r="A240" s="46">
        <f ca="1">IFERROR(__xludf.DUMMYFUNCTION("""COMPUTED_VALUE"""),228)</f>
        <v>228</v>
      </c>
      <c r="B240" s="65" t="str">
        <f ca="1">IFERROR(__xludf.DUMMYFUNCTION("""COMPUTED_VALUE"""),"088180")</f>
        <v>088180</v>
      </c>
      <c r="C240" s="48" t="str">
        <f ca="1">IFERROR(__xludf.DUMMYFUNCTION("""COMPUTED_VALUE"""),"GREVIN")</f>
        <v>GREVIN</v>
      </c>
      <c r="D240" s="48" t="str">
        <f ca="1">IFERROR(__xludf.DUMMYFUNCTION("""COMPUTED_VALUE"""),"Regis")</f>
        <v>Regis</v>
      </c>
      <c r="E240" s="49" t="str">
        <f ca="1">IFERROR(__xludf.DUMMYFUNCTION("""COMPUTED_VALUE"""),"06080087")</f>
        <v>06080087</v>
      </c>
      <c r="F240" s="48" t="str">
        <f ca="1">IFERROR(__xludf.DUMMYFUNCTION("""COMPUTED_VALUE"""),"CARIGNAN YVOISIEN CTT")</f>
        <v>CARIGNAN YVOISIEN CTT</v>
      </c>
      <c r="G240" s="50" t="str">
        <f ca="1">IFERROR(__xludf.DUMMYFUNCTION("""COMPUTED_VALUE"""),"CD08")</f>
        <v>CD08</v>
      </c>
      <c r="H240" s="50" t="str">
        <f ca="1">IFERROR(__xludf.DUMMYFUNCTION("""COMPUTED_VALUE"""),"inactivité 3ème année")</f>
        <v>inactivité 3ème année</v>
      </c>
    </row>
    <row r="241" spans="1:8" ht="12.75">
      <c r="A241" s="46">
        <f ca="1">IFERROR(__xludf.DUMMYFUNCTION("""COMPUTED_VALUE"""),229)</f>
        <v>229</v>
      </c>
      <c r="B241" s="65" t="str">
        <f ca="1">IFERROR(__xludf.DUMMYFUNCTION("""COMPUTED_VALUE"""),"089323")</f>
        <v>089323</v>
      </c>
      <c r="C241" s="48" t="str">
        <f ca="1">IFERROR(__xludf.DUMMYFUNCTION("""COMPUTED_VALUE"""),"GREVIN")</f>
        <v>GREVIN</v>
      </c>
      <c r="D241" s="48" t="str">
        <f ca="1">IFERROR(__xludf.DUMMYFUNCTION("""COMPUTED_VALUE"""),"Antonin")</f>
        <v>Antonin</v>
      </c>
      <c r="E241" s="49" t="str">
        <f ca="1">IFERROR(__xludf.DUMMYFUNCTION("""COMPUTED_VALUE"""),"06080087")</f>
        <v>06080087</v>
      </c>
      <c r="F241" s="48" t="str">
        <f ca="1">IFERROR(__xludf.DUMMYFUNCTION("""COMPUTED_VALUE"""),"CARIGNAN YVOISIEN CTT")</f>
        <v>CARIGNAN YVOISIEN CTT</v>
      </c>
      <c r="G241" s="50" t="str">
        <f ca="1">IFERROR(__xludf.DUMMYFUNCTION("""COMPUTED_VALUE"""),"CD08")</f>
        <v>CD08</v>
      </c>
      <c r="H241" s="50" t="str">
        <f ca="1">IFERROR(__xludf.DUMMYFUNCTION("""COMPUTED_VALUE"""),"inactivité 3ème année")</f>
        <v>inactivité 3ème année</v>
      </c>
    </row>
    <row r="242" spans="1:8" ht="12.75">
      <c r="A242" s="46">
        <f ca="1">IFERROR(__xludf.DUMMYFUNCTION("""COMPUTED_VALUE"""),230)</f>
        <v>230</v>
      </c>
      <c r="B242" s="65" t="str">
        <f ca="1">IFERROR(__xludf.DUMMYFUNCTION("""COMPUTED_VALUE"""),"5115619")</f>
        <v>5115619</v>
      </c>
      <c r="C242" s="48" t="str">
        <f ca="1">IFERROR(__xludf.DUMMYFUNCTION("""COMPUTED_VALUE"""),"GRILLOT")</f>
        <v>GRILLOT</v>
      </c>
      <c r="D242" s="48" t="str">
        <f ca="1">IFERROR(__xludf.DUMMYFUNCTION("""COMPUTED_VALUE"""),"Livio")</f>
        <v>Livio</v>
      </c>
      <c r="E242" s="49" t="str">
        <f ca="1">IFERROR(__xludf.DUMMYFUNCTION("""COMPUTED_VALUE"""),"06510112")</f>
        <v>06510112</v>
      </c>
      <c r="F242" s="48" t="str">
        <f ca="1">IFERROR(__xludf.DUMMYFUNCTION("""COMPUTED_VALUE"""),"CHALONS-EN-CHAMPAGNE TT")</f>
        <v>CHALONS-EN-CHAMPAGNE TT</v>
      </c>
      <c r="G242" s="50" t="str">
        <f ca="1">IFERROR(__xludf.DUMMYFUNCTION("""COMPUTED_VALUE"""),"CD51")</f>
        <v>CD51</v>
      </c>
      <c r="H242" s="50" t="str">
        <f ca="1">IFERROR(__xludf.DUMMYFUNCTION("""COMPUTED_VALUE"""),"actif")</f>
        <v>actif</v>
      </c>
    </row>
    <row r="243" spans="1:8" ht="12.75">
      <c r="A243" s="46">
        <f ca="1">IFERROR(__xludf.DUMMYFUNCTION("""COMPUTED_VALUE"""),231)</f>
        <v>231</v>
      </c>
      <c r="B243" s="65" t="str">
        <f ca="1">IFERROR(__xludf.DUMMYFUNCTION("""COMPUTED_VALUE"""),"5416075")</f>
        <v>5416075</v>
      </c>
      <c r="C243" s="48" t="str">
        <f ca="1">IFERROR(__xludf.DUMMYFUNCTION("""COMPUTED_VALUE"""),"GRITTI")</f>
        <v>GRITTI</v>
      </c>
      <c r="D243" s="48" t="str">
        <f ca="1">IFERROR(__xludf.DUMMYFUNCTION("""COMPUTED_VALUE"""),"Alexandre")</f>
        <v>Alexandre</v>
      </c>
      <c r="E243" s="49" t="str">
        <f ca="1">IFERROR(__xludf.DUMMYFUNCTION("""COMPUTED_VALUE"""),"06540034")</f>
        <v>06540034</v>
      </c>
      <c r="F243" s="48" t="str">
        <f ca="1">IFERROR(__xludf.DUMMYFUNCTION("""COMPUTED_VALUE"""),"SAINT MAX T.T.H.R.")</f>
        <v>SAINT MAX T.T.H.R.</v>
      </c>
      <c r="G243" s="50" t="str">
        <f ca="1">IFERROR(__xludf.DUMMYFUNCTION("""COMPUTED_VALUE"""),"CD54")</f>
        <v>CD54</v>
      </c>
      <c r="H243" s="50" t="str">
        <f ca="1">IFERROR(__xludf.DUMMYFUNCTION("""COMPUTED_VALUE"""),"inactivité 2ème année")</f>
        <v>inactivité 2ème année</v>
      </c>
    </row>
    <row r="244" spans="1:8" ht="12.75">
      <c r="A244" s="46">
        <f ca="1">IFERROR(__xludf.DUMMYFUNCTION("""COMPUTED_VALUE"""),232)</f>
        <v>232</v>
      </c>
      <c r="B244" s="65" t="str">
        <f ca="1">IFERROR(__xludf.DUMMYFUNCTION("""COMPUTED_VALUE"""),"3826948")</f>
        <v>3826948</v>
      </c>
      <c r="C244" s="48" t="str">
        <f ca="1">IFERROR(__xludf.DUMMYFUNCTION("""COMPUTED_VALUE"""),"GROMEK")</f>
        <v>GROMEK</v>
      </c>
      <c r="D244" s="48" t="str">
        <f ca="1">IFERROR(__xludf.DUMMYFUNCTION("""COMPUTED_VALUE"""),"Olivier")</f>
        <v>Olivier</v>
      </c>
      <c r="E244" s="49" t="str">
        <f ca="1">IFERROR(__xludf.DUMMYFUNCTION("""COMPUTED_VALUE"""),"06880071")</f>
        <v>06880071</v>
      </c>
      <c r="F244" s="48" t="str">
        <f ca="1">IFERROR(__xludf.DUMMYFUNCTION("""COMPUTED_VALUE"""),"EPINAL T.S.P.")</f>
        <v>EPINAL T.S.P.</v>
      </c>
      <c r="G244" s="50" t="str">
        <f ca="1">IFERROR(__xludf.DUMMYFUNCTION("""COMPUTED_VALUE"""),"CD88")</f>
        <v>CD88</v>
      </c>
      <c r="H244" s="50" t="str">
        <f ca="1">IFERROR(__xludf.DUMMYFUNCTION("""COMPUTED_VALUE"""),"actif")</f>
        <v>actif</v>
      </c>
    </row>
    <row r="245" spans="1:8" ht="12.75">
      <c r="A245" s="46">
        <f ca="1">IFERROR(__xludf.DUMMYFUNCTION("""COMPUTED_VALUE"""),233)</f>
        <v>233</v>
      </c>
      <c r="B245" s="65" t="str">
        <f ca="1">IFERROR(__xludf.DUMMYFUNCTION("""COMPUTED_VALUE"""),"5725266")</f>
        <v>5725266</v>
      </c>
      <c r="C245" s="48" t="str">
        <f ca="1">IFERROR(__xludf.DUMMYFUNCTION("""COMPUTED_VALUE"""),"GRÜN")</f>
        <v>GRÜN</v>
      </c>
      <c r="D245" s="48" t="str">
        <f ca="1">IFERROR(__xludf.DUMMYFUNCTION("""COMPUTED_VALUE"""),"Daniel")</f>
        <v>Daniel</v>
      </c>
      <c r="E245" s="49" t="str">
        <f ca="1">IFERROR(__xludf.DUMMYFUNCTION("""COMPUTED_VALUE"""),"06570057")</f>
        <v>06570057</v>
      </c>
      <c r="F245" s="48" t="str">
        <f ca="1">IFERROR(__xludf.DUMMYFUNCTION("""COMPUTED_VALUE"""),"FREYMING-ST MAURICE LTDP")</f>
        <v>FREYMING-ST MAURICE LTDP</v>
      </c>
      <c r="G245" s="50" t="str">
        <f ca="1">IFERROR(__xludf.DUMMYFUNCTION("""COMPUTED_VALUE"""),"CD57")</f>
        <v>CD57</v>
      </c>
      <c r="H245" s="50" t="str">
        <f ca="1">IFERROR(__xludf.DUMMYFUNCTION("""COMPUTED_VALUE"""),"inactivité 2ème année")</f>
        <v>inactivité 2ème année</v>
      </c>
    </row>
    <row r="246" spans="1:8" ht="12.75">
      <c r="A246" s="46">
        <f ca="1">IFERROR(__xludf.DUMMYFUNCTION("""COMPUTED_VALUE"""),234)</f>
        <v>234</v>
      </c>
      <c r="B246" s="65" t="str">
        <f ca="1">IFERROR(__xludf.DUMMYFUNCTION("""COMPUTED_VALUE"""),"6720767")</f>
        <v>6720767</v>
      </c>
      <c r="C246" s="48" t="str">
        <f ca="1">IFERROR(__xludf.DUMMYFUNCTION("""COMPUTED_VALUE"""),"GRUNENWALD")</f>
        <v>GRUNENWALD</v>
      </c>
      <c r="D246" s="48" t="str">
        <f ca="1">IFERROR(__xludf.DUMMYFUNCTION("""COMPUTED_VALUE"""),"Theo")</f>
        <v>Theo</v>
      </c>
      <c r="E246" s="49" t="str">
        <f ca="1">IFERROR(__xludf.DUMMYFUNCTION("""COMPUTED_VALUE"""),"06670212")</f>
        <v>06670212</v>
      </c>
      <c r="F246" s="48" t="str">
        <f ca="1">IFERROR(__xludf.DUMMYFUNCTION("""COMPUTED_VALUE"""),"LEUTENHEIM C.T.T.")</f>
        <v>LEUTENHEIM C.T.T.</v>
      </c>
      <c r="G246" s="50" t="str">
        <f ca="1">IFERROR(__xludf.DUMMYFUNCTION("""COMPUTED_VALUE"""),"CD67")</f>
        <v>CD67</v>
      </c>
      <c r="H246" s="50" t="str">
        <f ca="1">IFERROR(__xludf.DUMMYFUNCTION("""COMPUTED_VALUE"""),"inactivité 2ème année")</f>
        <v>inactivité 2ème année</v>
      </c>
    </row>
    <row r="247" spans="1:8" ht="12.75">
      <c r="A247" s="46">
        <f ca="1">IFERROR(__xludf.DUMMYFUNCTION("""COMPUTED_VALUE"""),235)</f>
        <v>235</v>
      </c>
      <c r="B247" s="65" t="str">
        <f ca="1">IFERROR(__xludf.DUMMYFUNCTION("""COMPUTED_VALUE"""),"103245")</f>
        <v>103245</v>
      </c>
      <c r="C247" s="48" t="str">
        <f ca="1">IFERROR(__xludf.DUMMYFUNCTION("""COMPUTED_VALUE"""),"GUIGNIER")</f>
        <v>GUIGNIER</v>
      </c>
      <c r="D247" s="48" t="str">
        <f ca="1">IFERROR(__xludf.DUMMYFUNCTION("""COMPUTED_VALUE"""),"Vivien")</f>
        <v>Vivien</v>
      </c>
      <c r="E247" s="49" t="str">
        <f ca="1">IFERROR(__xludf.DUMMYFUNCTION("""COMPUTED_VALUE"""),"06100035")</f>
        <v>06100035</v>
      </c>
      <c r="F247" s="48" t="str">
        <f ca="1">IFERROR(__xludf.DUMMYFUNCTION("""COMPUTED_VALUE"""),"ST MESMIN-VALLANT TT")</f>
        <v>ST MESMIN-VALLANT TT</v>
      </c>
      <c r="G247" s="50" t="str">
        <f ca="1">IFERROR(__xludf.DUMMYFUNCTION("""COMPUTED_VALUE"""),"CD10")</f>
        <v>CD10</v>
      </c>
      <c r="H247" s="50" t="str">
        <f ca="1">IFERROR(__xludf.DUMMYFUNCTION("""COMPUTED_VALUE"""),"inactivité 1ère année")</f>
        <v>inactivité 1ère année</v>
      </c>
    </row>
    <row r="248" spans="1:8" ht="12.75">
      <c r="A248" s="46">
        <f ca="1">IFERROR(__xludf.DUMMYFUNCTION("""COMPUTED_VALUE"""),236)</f>
        <v>236</v>
      </c>
      <c r="B248" s="65" t="str">
        <f ca="1">IFERROR(__xludf.DUMMYFUNCTION("""COMPUTED_VALUE"""),"5714831")</f>
        <v>5714831</v>
      </c>
      <c r="C248" s="48" t="str">
        <f ca="1">IFERROR(__xludf.DUMMYFUNCTION("""COMPUTED_VALUE"""),"GUILBERT")</f>
        <v>GUILBERT</v>
      </c>
      <c r="D248" s="48" t="str">
        <f ca="1">IFERROR(__xludf.DUMMYFUNCTION("""COMPUTED_VALUE"""),"Eric")</f>
        <v>Eric</v>
      </c>
      <c r="E248" s="49" t="str">
        <f ca="1">IFERROR(__xludf.DUMMYFUNCTION("""COMPUTED_VALUE"""),"06570022")</f>
        <v>06570022</v>
      </c>
      <c r="F248" s="48" t="str">
        <f ca="1">IFERROR(__xludf.DUMMYFUNCTION("""COMPUTED_VALUE"""),"AS.Sarreguemines Tennis de Table")</f>
        <v>AS.Sarreguemines Tennis de Table</v>
      </c>
      <c r="G248" s="50" t="str">
        <f ca="1">IFERROR(__xludf.DUMMYFUNCTION("""COMPUTED_VALUE"""),"CD57")</f>
        <v>CD57</v>
      </c>
      <c r="H248" s="50" t="str">
        <f ca="1">IFERROR(__xludf.DUMMYFUNCTION("""COMPUTED_VALUE"""),"actif")</f>
        <v>actif</v>
      </c>
    </row>
    <row r="249" spans="1:8" ht="12.75">
      <c r="A249" s="46">
        <f ca="1">IFERROR(__xludf.DUMMYFUNCTION("""COMPUTED_VALUE"""),237)</f>
        <v>237</v>
      </c>
      <c r="B249" s="65" t="str">
        <f ca="1">IFERROR(__xludf.DUMMYFUNCTION("""COMPUTED_VALUE"""),"088585")</f>
        <v>088585</v>
      </c>
      <c r="C249" s="48" t="str">
        <f ca="1">IFERROR(__xludf.DUMMYFUNCTION("""COMPUTED_VALUE"""),"GUILLAUME")</f>
        <v>GUILLAUME</v>
      </c>
      <c r="D249" s="48" t="str">
        <f ca="1">IFERROR(__xludf.DUMMYFUNCTION("""COMPUTED_VALUE"""),"Jordan")</f>
        <v>Jordan</v>
      </c>
      <c r="E249" s="49" t="str">
        <f ca="1">IFERROR(__xludf.DUMMYFUNCTION("""COMPUTED_VALUE"""),"06080006")</f>
        <v>06080006</v>
      </c>
      <c r="F249" s="48" t="str">
        <f ca="1">IFERROR(__xludf.DUMMYFUNCTION("""COMPUTED_VALUE"""),"BAZEILLES PPC")</f>
        <v>BAZEILLES PPC</v>
      </c>
      <c r="G249" s="50" t="str">
        <f ca="1">IFERROR(__xludf.DUMMYFUNCTION("""COMPUTED_VALUE"""),"CD08")</f>
        <v>CD08</v>
      </c>
      <c r="H249" s="50" t="str">
        <f ca="1">IFERROR(__xludf.DUMMYFUNCTION("""COMPUTED_VALUE"""),"actif")</f>
        <v>actif</v>
      </c>
    </row>
    <row r="250" spans="1:8" ht="12.75">
      <c r="A250" s="46">
        <f ca="1">IFERROR(__xludf.DUMMYFUNCTION("""COMPUTED_VALUE"""),238)</f>
        <v>238</v>
      </c>
      <c r="B250" s="65" t="str">
        <f ca="1">IFERROR(__xludf.DUMMYFUNCTION("""COMPUTED_VALUE"""),"5430663")</f>
        <v>5430663</v>
      </c>
      <c r="C250" s="48" t="str">
        <f ca="1">IFERROR(__xludf.DUMMYFUNCTION("""COMPUTED_VALUE"""),"GUILLAUME")</f>
        <v>GUILLAUME</v>
      </c>
      <c r="D250" s="48" t="str">
        <f ca="1">IFERROR(__xludf.DUMMYFUNCTION("""COMPUTED_VALUE"""),"Sandra")</f>
        <v>Sandra</v>
      </c>
      <c r="E250" s="49" t="str">
        <f ca="1">IFERROR(__xludf.DUMMYFUNCTION("""COMPUTED_VALUE"""),"06540010")</f>
        <v>06540010</v>
      </c>
      <c r="F250" s="48" t="str">
        <f ca="1">IFERROR(__xludf.DUMMYFUNCTION("""COMPUTED_VALUE"""),"FOUG C.P.")</f>
        <v>FOUG C.P.</v>
      </c>
      <c r="G250" s="50" t="str">
        <f ca="1">IFERROR(__xludf.DUMMYFUNCTION("""COMPUTED_VALUE"""),"CD54")</f>
        <v>CD54</v>
      </c>
      <c r="H250" s="50" t="str">
        <f ca="1">IFERROR(__xludf.DUMMYFUNCTION("""COMPUTED_VALUE"""),"actif")</f>
        <v>actif</v>
      </c>
    </row>
    <row r="251" spans="1:8" ht="12.75">
      <c r="A251" s="46">
        <f ca="1">IFERROR(__xludf.DUMMYFUNCTION("""COMPUTED_VALUE"""),239)</f>
        <v>239</v>
      </c>
      <c r="B251" s="65" t="str">
        <f ca="1">IFERROR(__xludf.DUMMYFUNCTION("""COMPUTED_VALUE"""),"5430551")</f>
        <v>5430551</v>
      </c>
      <c r="C251" s="48" t="str">
        <f ca="1">IFERROR(__xludf.DUMMYFUNCTION("""COMPUTED_VALUE"""),"GUILLAUME")</f>
        <v>GUILLAUME</v>
      </c>
      <c r="D251" s="48" t="str">
        <f ca="1">IFERROR(__xludf.DUMMYFUNCTION("""COMPUTED_VALUE"""),"Lola")</f>
        <v>Lola</v>
      </c>
      <c r="E251" s="49" t="str">
        <f ca="1">IFERROR(__xludf.DUMMYFUNCTION("""COMPUTED_VALUE"""),"06540010")</f>
        <v>06540010</v>
      </c>
      <c r="F251" s="48" t="str">
        <f ca="1">IFERROR(__xludf.DUMMYFUNCTION("""COMPUTED_VALUE"""),"FOUG C.P.")</f>
        <v>FOUG C.P.</v>
      </c>
      <c r="G251" s="50" t="str">
        <f ca="1">IFERROR(__xludf.DUMMYFUNCTION("""COMPUTED_VALUE"""),"CD54")</f>
        <v>CD54</v>
      </c>
      <c r="H251" s="50" t="str">
        <f ca="1">IFERROR(__xludf.DUMMYFUNCTION("""COMPUTED_VALUE"""),"actif")</f>
        <v>actif</v>
      </c>
    </row>
    <row r="252" spans="1:8" ht="12.75">
      <c r="A252" s="46">
        <f ca="1">IFERROR(__xludf.DUMMYFUNCTION("""COMPUTED_VALUE"""),240)</f>
        <v>240</v>
      </c>
      <c r="B252" s="65" t="str">
        <f ca="1">IFERROR(__xludf.DUMMYFUNCTION("""COMPUTED_VALUE"""),"671737")</f>
        <v>671737</v>
      </c>
      <c r="C252" s="48" t="str">
        <f ca="1">IFERROR(__xludf.DUMMYFUNCTION("""COMPUTED_VALUE"""),"GUILLEMIN")</f>
        <v>GUILLEMIN</v>
      </c>
      <c r="D252" s="48" t="str">
        <f ca="1">IFERROR(__xludf.DUMMYFUNCTION("""COMPUTED_VALUE"""),"Samuel")</f>
        <v>Samuel</v>
      </c>
      <c r="E252" s="49" t="str">
        <f ca="1">IFERROR(__xludf.DUMMYFUNCTION("""COMPUTED_VALUE"""),"06670045")</f>
        <v>06670045</v>
      </c>
      <c r="F252" s="48" t="str">
        <f ca="1">IFERROR(__xludf.DUMMYFUNCTION("""COMPUTED_VALUE"""),"STRASBOURG RC")</f>
        <v>STRASBOURG RC</v>
      </c>
      <c r="G252" s="50" t="str">
        <f ca="1">IFERROR(__xludf.DUMMYFUNCTION("""COMPUTED_VALUE"""),"CD67")</f>
        <v>CD67</v>
      </c>
      <c r="H252" s="50" t="str">
        <f ca="1">IFERROR(__xludf.DUMMYFUNCTION("""COMPUTED_VALUE"""),"inactivité 1ère année")</f>
        <v>inactivité 1ère année</v>
      </c>
    </row>
    <row r="253" spans="1:8" ht="12.75">
      <c r="A253" s="46">
        <f ca="1">IFERROR(__xludf.DUMMYFUNCTION("""COMPUTED_VALUE"""),241)</f>
        <v>241</v>
      </c>
      <c r="B253" s="65" t="str">
        <f ca="1">IFERROR(__xludf.DUMMYFUNCTION("""COMPUTED_VALUE"""),"5719363")</f>
        <v>5719363</v>
      </c>
      <c r="C253" s="48" t="str">
        <f ca="1">IFERROR(__xludf.DUMMYFUNCTION("""COMPUTED_VALUE"""),"GUINDEUIL")</f>
        <v>GUINDEUIL</v>
      </c>
      <c r="D253" s="48" t="str">
        <f ca="1">IFERROR(__xludf.DUMMYFUNCTION("""COMPUTED_VALUE"""),"Gregory")</f>
        <v>Gregory</v>
      </c>
      <c r="E253" s="49" t="str">
        <f ca="1">IFERROR(__xludf.DUMMYFUNCTION("""COMPUTED_VALUE"""),"06570193")</f>
        <v>06570193</v>
      </c>
      <c r="F253" s="48" t="str">
        <f ca="1">IFERROR(__xludf.DUMMYFUNCTION("""COMPUTED_VALUE"""),"REMILLY Tennis de Table")</f>
        <v>REMILLY Tennis de Table</v>
      </c>
      <c r="G253" s="50" t="str">
        <f ca="1">IFERROR(__xludf.DUMMYFUNCTION("""COMPUTED_VALUE"""),"CD57")</f>
        <v>CD57</v>
      </c>
      <c r="H253" s="50" t="str">
        <f ca="1">IFERROR(__xludf.DUMMYFUNCTION("""COMPUTED_VALUE"""),"inactivité 1ère année")</f>
        <v>inactivité 1ère année</v>
      </c>
    </row>
    <row r="254" spans="1:8" ht="12.75">
      <c r="A254" s="46">
        <f ca="1">IFERROR(__xludf.DUMMYFUNCTION("""COMPUTED_VALUE"""),242)</f>
        <v>242</v>
      </c>
      <c r="B254" s="65" t="str">
        <f ca="1">IFERROR(__xludf.DUMMYFUNCTION("""COMPUTED_VALUE"""),"511925")</f>
        <v>511925</v>
      </c>
      <c r="C254" s="48" t="str">
        <f ca="1">IFERROR(__xludf.DUMMYFUNCTION("""COMPUTED_VALUE"""),"GUIRAO")</f>
        <v>GUIRAO</v>
      </c>
      <c r="D254" s="48" t="str">
        <f ca="1">IFERROR(__xludf.DUMMYFUNCTION("""COMPUTED_VALUE"""),"Jean Francois")</f>
        <v>Jean Francois</v>
      </c>
      <c r="E254" s="49" t="str">
        <f ca="1">IFERROR(__xludf.DUMMYFUNCTION("""COMPUTED_VALUE"""),"06510020")</f>
        <v>06510020</v>
      </c>
      <c r="F254" s="48" t="str">
        <f ca="1">IFERROR(__xludf.DUMMYFUNCTION("""COMPUTED_VALUE"""),"EPERNAY-PLIVOT PPC")</f>
        <v>EPERNAY-PLIVOT PPC</v>
      </c>
      <c r="G254" s="50" t="str">
        <f ca="1">IFERROR(__xludf.DUMMYFUNCTION("""COMPUTED_VALUE"""),"CD51")</f>
        <v>CD51</v>
      </c>
      <c r="H254" s="50" t="str">
        <f ca="1">IFERROR(__xludf.DUMMYFUNCTION("""COMPUTED_VALUE"""),"actif")</f>
        <v>actif</v>
      </c>
    </row>
    <row r="255" spans="1:8" ht="12.75">
      <c r="A255" s="46">
        <f ca="1">IFERROR(__xludf.DUMMYFUNCTION("""COMPUTED_VALUE"""),243)</f>
        <v>243</v>
      </c>
      <c r="B255" s="65" t="str">
        <f ca="1">IFERROR(__xludf.DUMMYFUNCTION("""COMPUTED_VALUE"""),"8819147")</f>
        <v>8819147</v>
      </c>
      <c r="C255" s="48" t="str">
        <f ca="1">IFERROR(__xludf.DUMMYFUNCTION("""COMPUTED_VALUE"""),"GULLY")</f>
        <v>GULLY</v>
      </c>
      <c r="D255" s="48" t="str">
        <f ca="1">IFERROR(__xludf.DUMMYFUNCTION("""COMPUTED_VALUE"""),"Frederic")</f>
        <v>Frederic</v>
      </c>
      <c r="E255" s="49" t="str">
        <f ca="1">IFERROR(__xludf.DUMMYFUNCTION("""COMPUTED_VALUE"""),"06880123")</f>
        <v>06880123</v>
      </c>
      <c r="F255" s="48" t="str">
        <f ca="1">IFERROR(__xludf.DUMMYFUNCTION("""COMPUTED_VALUE"""),"ETIVAL ASRTT")</f>
        <v>ETIVAL ASRTT</v>
      </c>
      <c r="G255" s="50" t="str">
        <f ca="1">IFERROR(__xludf.DUMMYFUNCTION("""COMPUTED_VALUE"""),"CD88")</f>
        <v>CD88</v>
      </c>
      <c r="H255" s="50" t="str">
        <f ca="1">IFERROR(__xludf.DUMMYFUNCTION("""COMPUTED_VALUE"""),"actif")</f>
        <v>actif</v>
      </c>
    </row>
    <row r="256" spans="1:8" ht="12.75">
      <c r="A256" s="46">
        <f ca="1">IFERROR(__xludf.DUMMYFUNCTION("""COMPUTED_VALUE"""),244)</f>
        <v>244</v>
      </c>
      <c r="B256" s="65" t="str">
        <f ca="1">IFERROR(__xludf.DUMMYFUNCTION("""COMPUTED_VALUE"""),"103158")</f>
        <v>103158</v>
      </c>
      <c r="C256" s="48" t="str">
        <f ca="1">IFERROR(__xludf.DUMMYFUNCTION("""COMPUTED_VALUE"""),"GUTH")</f>
        <v>GUTH</v>
      </c>
      <c r="D256" s="48" t="str">
        <f ca="1">IFERROR(__xludf.DUMMYFUNCTION("""COMPUTED_VALUE"""),"Francine")</f>
        <v>Francine</v>
      </c>
      <c r="E256" s="49" t="str">
        <f ca="1">IFERROR(__xludf.DUMMYFUNCTION("""COMPUTED_VALUE"""),"06100015")</f>
        <v>06100015</v>
      </c>
      <c r="F256" s="48" t="str">
        <f ca="1">IFERROR(__xludf.DUMMYFUNCTION("""COMPUTED_VALUE"""),"TROYES JEUNE GARDE")</f>
        <v>TROYES JEUNE GARDE</v>
      </c>
      <c r="G256" s="50" t="str">
        <f ca="1">IFERROR(__xludf.DUMMYFUNCTION("""COMPUTED_VALUE"""),"CD10")</f>
        <v>CD10</v>
      </c>
      <c r="H256" s="50" t="str">
        <f ca="1">IFERROR(__xludf.DUMMYFUNCTION("""COMPUTED_VALUE"""),"inactivité 2ème année")</f>
        <v>inactivité 2ème année</v>
      </c>
    </row>
    <row r="257" spans="1:8" ht="12.75">
      <c r="A257" s="46">
        <f ca="1">IFERROR(__xludf.DUMMYFUNCTION("""COMPUTED_VALUE"""),245)</f>
        <v>245</v>
      </c>
      <c r="B257" s="65" t="str">
        <f ca="1">IFERROR(__xludf.DUMMYFUNCTION("""COMPUTED_VALUE"""),"686585")</f>
        <v>686585</v>
      </c>
      <c r="C257" s="48" t="str">
        <f ca="1">IFERROR(__xludf.DUMMYFUNCTION("""COMPUTED_VALUE"""),"GUTKNECHT")</f>
        <v>GUTKNECHT</v>
      </c>
      <c r="D257" s="48" t="str">
        <f ca="1">IFERROR(__xludf.DUMMYFUNCTION("""COMPUTED_VALUE"""),"Florian")</f>
        <v>Florian</v>
      </c>
      <c r="E257" s="49" t="str">
        <f ca="1">IFERROR(__xludf.DUMMYFUNCTION("""COMPUTED_VALUE"""),"06680090")</f>
        <v>06680090</v>
      </c>
      <c r="F257" s="48" t="str">
        <f ca="1">IFERROR(__xludf.DUMMYFUNCTION("""COMPUTED_VALUE"""),"INGERSHEIM SSSA")</f>
        <v>INGERSHEIM SSSA</v>
      </c>
      <c r="G257" s="50" t="str">
        <f ca="1">IFERROR(__xludf.DUMMYFUNCTION("""COMPUTED_VALUE"""),"CD68")</f>
        <v>CD68</v>
      </c>
      <c r="H257" s="50" t="str">
        <f ca="1">IFERROR(__xludf.DUMMYFUNCTION("""COMPUTED_VALUE"""),"inactivité 3ème année")</f>
        <v>inactivité 3ème année</v>
      </c>
    </row>
    <row r="258" spans="1:8" ht="12.75">
      <c r="A258" s="46">
        <f ca="1">IFERROR(__xludf.DUMMYFUNCTION("""COMPUTED_VALUE"""),246)</f>
        <v>246</v>
      </c>
      <c r="B258" s="65" t="str">
        <f ca="1">IFERROR(__xludf.DUMMYFUNCTION("""COMPUTED_VALUE"""),"087266")</f>
        <v>087266</v>
      </c>
      <c r="C258" s="48" t="str">
        <f ca="1">IFERROR(__xludf.DUMMYFUNCTION("""COMPUTED_VALUE"""),"GUYOT")</f>
        <v>GUYOT</v>
      </c>
      <c r="D258" s="48" t="str">
        <f ca="1">IFERROR(__xludf.DUMMYFUNCTION("""COMPUTED_VALUE"""),"Frédéric")</f>
        <v>Frédéric</v>
      </c>
      <c r="E258" s="49" t="str">
        <f ca="1">IFERROR(__xludf.DUMMYFUNCTION("""COMPUTED_VALUE"""),"06080035")</f>
        <v>06080035</v>
      </c>
      <c r="F258" s="48" t="str">
        <f ca="1">IFERROR(__xludf.DUMMYFUNCTION("""COMPUTED_VALUE"""),"CHARLEVILLE MEZIERES ARDENNES TT")</f>
        <v>CHARLEVILLE MEZIERES ARDENNES TT</v>
      </c>
      <c r="G258" s="50" t="str">
        <f ca="1">IFERROR(__xludf.DUMMYFUNCTION("""COMPUTED_VALUE"""),"CD08")</f>
        <v>CD08</v>
      </c>
      <c r="H258" s="50" t="str">
        <f ca="1">IFERROR(__xludf.DUMMYFUNCTION("""COMPUTED_VALUE"""),"inactivité 3ème année")</f>
        <v>inactivité 3ème année</v>
      </c>
    </row>
    <row r="259" spans="1:8" ht="12.75">
      <c r="A259" s="46">
        <f ca="1">IFERROR(__xludf.DUMMYFUNCTION("""COMPUTED_VALUE"""),247)</f>
        <v>247</v>
      </c>
      <c r="B259" s="65" t="str">
        <f ca="1">IFERROR(__xludf.DUMMYFUNCTION("""COMPUTED_VALUE"""),"677629")</f>
        <v>677629</v>
      </c>
      <c r="C259" s="48" t="str">
        <f ca="1">IFERROR(__xludf.DUMMYFUNCTION("""COMPUTED_VALUE"""),"HAFFEMAYER")</f>
        <v>HAFFEMAYER</v>
      </c>
      <c r="D259" s="48" t="str">
        <f ca="1">IFERROR(__xludf.DUMMYFUNCTION("""COMPUTED_VALUE"""),"Jean-Philippe")</f>
        <v>Jean-Philippe</v>
      </c>
      <c r="E259" s="49" t="str">
        <f ca="1">IFERROR(__xludf.DUMMYFUNCTION("""COMPUTED_VALUE"""),"06670003")</f>
        <v>06670003</v>
      </c>
      <c r="F259" s="48" t="str">
        <f ca="1">IFERROR(__xludf.DUMMYFUNCTION("""COMPUTED_VALUE"""),"ECKBOLSHEIM")</f>
        <v>ECKBOLSHEIM</v>
      </c>
      <c r="G259" s="50" t="str">
        <f ca="1">IFERROR(__xludf.DUMMYFUNCTION("""COMPUTED_VALUE"""),"CD67")</f>
        <v>CD67</v>
      </c>
      <c r="H259" s="50" t="str">
        <f ca="1">IFERROR(__xludf.DUMMYFUNCTION("""COMPUTED_VALUE"""),"actif")</f>
        <v>actif</v>
      </c>
    </row>
    <row r="260" spans="1:8" ht="12.75">
      <c r="A260" s="46">
        <f ca="1">IFERROR(__xludf.DUMMYFUNCTION("""COMPUTED_VALUE"""),248)</f>
        <v>248</v>
      </c>
      <c r="B260" s="65" t="str">
        <f ca="1">IFERROR(__xludf.DUMMYFUNCTION("""COMPUTED_VALUE"""),"6724125")</f>
        <v>6724125</v>
      </c>
      <c r="C260" s="48" t="str">
        <f ca="1">IFERROR(__xludf.DUMMYFUNCTION("""COMPUTED_VALUE"""),"HAKKIOGLU")</f>
        <v>HAKKIOGLU</v>
      </c>
      <c r="D260" s="48" t="str">
        <f ca="1">IFERROR(__xludf.DUMMYFUNCTION("""COMPUTED_VALUE"""),"Suat")</f>
        <v>Suat</v>
      </c>
      <c r="E260" s="49" t="str">
        <f ca="1">IFERROR(__xludf.DUMMYFUNCTION("""COMPUTED_VALUE"""),"06680130")</f>
        <v>06680130</v>
      </c>
      <c r="F260" s="48" t="str">
        <f ca="1">IFERROR(__xludf.DUMMYFUNCTION("""COMPUTED_VALUE"""),"VAL de LIEPVRE ASL")</f>
        <v>VAL de LIEPVRE ASL</v>
      </c>
      <c r="G260" s="50" t="str">
        <f ca="1">IFERROR(__xludf.DUMMYFUNCTION("""COMPUTED_VALUE"""),"CD68")</f>
        <v>CD68</v>
      </c>
      <c r="H260" s="50" t="str">
        <f ca="1">IFERROR(__xludf.DUMMYFUNCTION("""COMPUTED_VALUE"""),"actif")</f>
        <v>actif</v>
      </c>
    </row>
    <row r="261" spans="1:8" ht="12.75">
      <c r="A261" s="46">
        <f ca="1">IFERROR(__xludf.DUMMYFUNCTION("""COMPUTED_VALUE"""),249)</f>
        <v>249</v>
      </c>
      <c r="B261" s="65" t="str">
        <f ca="1">IFERROR(__xludf.DUMMYFUNCTION("""COMPUTED_VALUE"""),"681162")</f>
        <v>681162</v>
      </c>
      <c r="C261" s="48" t="str">
        <f ca="1">IFERROR(__xludf.DUMMYFUNCTION("""COMPUTED_VALUE"""),"HALLER")</f>
        <v>HALLER</v>
      </c>
      <c r="D261" s="48" t="str">
        <f ca="1">IFERROR(__xludf.DUMMYFUNCTION("""COMPUTED_VALUE"""),"Sabine")</f>
        <v>Sabine</v>
      </c>
      <c r="E261" s="49" t="str">
        <f ca="1">IFERROR(__xludf.DUMMYFUNCTION("""COMPUTED_VALUE"""),"06680105")</f>
        <v>06680105</v>
      </c>
      <c r="F261" s="48" t="str">
        <f ca="1">IFERROR(__xludf.DUMMYFUNCTION("""COMPUTED_VALUE"""),"MULHOUSE TENNIS DE TABLE")</f>
        <v>MULHOUSE TENNIS DE TABLE</v>
      </c>
      <c r="G261" s="50" t="str">
        <f ca="1">IFERROR(__xludf.DUMMYFUNCTION("""COMPUTED_VALUE"""),"CD68")</f>
        <v>CD68</v>
      </c>
      <c r="H261" s="50" t="str">
        <f ca="1">IFERROR(__xludf.DUMMYFUNCTION("""COMPUTED_VALUE"""),"inactivité 1ère année")</f>
        <v>inactivité 1ère année</v>
      </c>
    </row>
    <row r="262" spans="1:8" ht="12.75">
      <c r="A262" s="46">
        <f ca="1">IFERROR(__xludf.DUMMYFUNCTION("""COMPUTED_VALUE"""),250)</f>
        <v>250</v>
      </c>
      <c r="B262" s="65" t="str">
        <f ca="1">IFERROR(__xludf.DUMMYFUNCTION("""COMPUTED_VALUE"""),"6724222")</f>
        <v>6724222</v>
      </c>
      <c r="C262" s="48" t="str">
        <f ca="1">IFERROR(__xludf.DUMMYFUNCTION("""COMPUTED_VALUE"""),"HALTER")</f>
        <v>HALTER</v>
      </c>
      <c r="D262" s="48" t="str">
        <f ca="1">IFERROR(__xludf.DUMMYFUNCTION("""COMPUTED_VALUE"""),"Nicolas")</f>
        <v>Nicolas</v>
      </c>
      <c r="E262" s="49" t="str">
        <f ca="1">IFERROR(__xludf.DUMMYFUNCTION("""COMPUTED_VALUE"""),"06670187")</f>
        <v>06670187</v>
      </c>
      <c r="F262" s="48" t="str">
        <f ca="1">IFERROR(__xludf.DUMMYFUNCTION("""COMPUTED_VALUE"""),"SCHIRRHEIN-SCHIRRHOFFEN CSCSN")</f>
        <v>SCHIRRHEIN-SCHIRRHOFFEN CSCSN</v>
      </c>
      <c r="G262" s="50" t="str">
        <f ca="1">IFERROR(__xludf.DUMMYFUNCTION("""COMPUTED_VALUE"""),"CD67")</f>
        <v>CD67</v>
      </c>
      <c r="H262" s="50" t="str">
        <f ca="1">IFERROR(__xludf.DUMMYFUNCTION("""COMPUTED_VALUE"""),"inactivité 1ère année")</f>
        <v>inactivité 1ère année</v>
      </c>
    </row>
    <row r="263" spans="1:8" ht="12.75">
      <c r="A263" s="46">
        <f ca="1">IFERROR(__xludf.DUMMYFUNCTION("""COMPUTED_VALUE"""),251)</f>
        <v>251</v>
      </c>
      <c r="B263" s="65" t="str">
        <f ca="1">IFERROR(__xludf.DUMMYFUNCTION("""COMPUTED_VALUE"""),"5415391")</f>
        <v>5415391</v>
      </c>
      <c r="C263" s="48" t="str">
        <f ca="1">IFERROR(__xludf.DUMMYFUNCTION("""COMPUTED_VALUE"""),"HARAU")</f>
        <v>HARAU</v>
      </c>
      <c r="D263" s="48" t="str">
        <f ca="1">IFERROR(__xludf.DUMMYFUNCTION("""COMPUTED_VALUE"""),"Clement")</f>
        <v>Clement</v>
      </c>
      <c r="E263" s="49" t="str">
        <f ca="1">IFERROR(__xludf.DUMMYFUNCTION("""COMPUTED_VALUE"""),"06540088")</f>
        <v>06540088</v>
      </c>
      <c r="F263" s="48" t="str">
        <f ca="1">IFERROR(__xludf.DUMMYFUNCTION("""COMPUTED_VALUE"""),"CHANTEHEUX TT")</f>
        <v>CHANTEHEUX TT</v>
      </c>
      <c r="G263" s="50" t="str">
        <f ca="1">IFERROR(__xludf.DUMMYFUNCTION("""COMPUTED_VALUE"""),"CD54")</f>
        <v>CD54</v>
      </c>
      <c r="H263" s="50" t="str">
        <f ca="1">IFERROR(__xludf.DUMMYFUNCTION("""COMPUTED_VALUE"""),"inactivité 1ère année")</f>
        <v>inactivité 1ère année</v>
      </c>
    </row>
    <row r="264" spans="1:8" ht="12.75">
      <c r="A264" s="46">
        <f ca="1">IFERROR(__xludf.DUMMYFUNCTION("""COMPUTED_VALUE"""),252)</f>
        <v>252</v>
      </c>
      <c r="B264" s="65" t="str">
        <f ca="1">IFERROR(__xludf.DUMMYFUNCTION("""COMPUTED_VALUE"""),"676659")</f>
        <v>676659</v>
      </c>
      <c r="C264" s="48" t="str">
        <f ca="1">IFERROR(__xludf.DUMMYFUNCTION("""COMPUTED_VALUE"""),"HARTER")</f>
        <v>HARTER</v>
      </c>
      <c r="D264" s="48" t="str">
        <f ca="1">IFERROR(__xludf.DUMMYFUNCTION("""COMPUTED_VALUE"""),"Julien")</f>
        <v>Julien</v>
      </c>
      <c r="E264" s="49" t="str">
        <f ca="1">IFERROR(__xludf.DUMMYFUNCTION("""COMPUTED_VALUE"""),"06670160")</f>
        <v>06670160</v>
      </c>
      <c r="F264" s="48" t="str">
        <f ca="1">IFERROR(__xludf.DUMMYFUNCTION("""COMPUTED_VALUE"""),"T.T.Haguenau Wissembourg")</f>
        <v>T.T.Haguenau Wissembourg</v>
      </c>
      <c r="G264" s="50" t="str">
        <f ca="1">IFERROR(__xludf.DUMMYFUNCTION("""COMPUTED_VALUE"""),"CD67")</f>
        <v>CD67</v>
      </c>
      <c r="H264" s="50" t="str">
        <f ca="1">IFERROR(__xludf.DUMMYFUNCTION("""COMPUTED_VALUE"""),"actif")</f>
        <v>actif</v>
      </c>
    </row>
    <row r="265" spans="1:8" ht="12.75">
      <c r="A265" s="46">
        <f ca="1">IFERROR(__xludf.DUMMYFUNCTION("""COMPUTED_VALUE"""),253)</f>
        <v>253</v>
      </c>
      <c r="B265" s="65" t="str">
        <f ca="1">IFERROR(__xludf.DUMMYFUNCTION("""COMPUTED_VALUE"""),"672239")</f>
        <v>672239</v>
      </c>
      <c r="C265" s="48" t="str">
        <f ca="1">IFERROR(__xludf.DUMMYFUNCTION("""COMPUTED_VALUE"""),"HARTER")</f>
        <v>HARTER</v>
      </c>
      <c r="D265" s="48" t="str">
        <f ca="1">IFERROR(__xludf.DUMMYFUNCTION("""COMPUTED_VALUE"""),"Jean-Noel")</f>
        <v>Jean-Noel</v>
      </c>
      <c r="E265" s="49" t="str">
        <f ca="1">IFERROR(__xludf.DUMMYFUNCTION("""COMPUTED_VALUE"""),"06670160")</f>
        <v>06670160</v>
      </c>
      <c r="F265" s="48" t="str">
        <f ca="1">IFERROR(__xludf.DUMMYFUNCTION("""COMPUTED_VALUE"""),"T.T.Haguenau Wissembourg")</f>
        <v>T.T.Haguenau Wissembourg</v>
      </c>
      <c r="G265" s="50" t="str">
        <f ca="1">IFERROR(__xludf.DUMMYFUNCTION("""COMPUTED_VALUE"""),"CD67")</f>
        <v>CD67</v>
      </c>
      <c r="H265" s="50" t="str">
        <f ca="1">IFERROR(__xludf.DUMMYFUNCTION("""COMPUTED_VALUE"""),"actif")</f>
        <v>actif</v>
      </c>
    </row>
    <row r="266" spans="1:8" ht="12.75">
      <c r="A266" s="46">
        <f ca="1">IFERROR(__xludf.DUMMYFUNCTION("""COMPUTED_VALUE"""),254)</f>
        <v>254</v>
      </c>
      <c r="B266" s="65" t="str">
        <f ca="1">IFERROR(__xludf.DUMMYFUNCTION("""COMPUTED_VALUE"""),"51107")</f>
        <v>51107</v>
      </c>
      <c r="C266" s="48" t="str">
        <f ca="1">IFERROR(__xludf.DUMMYFUNCTION("""COMPUTED_VALUE"""),"HAUTIER")</f>
        <v>HAUTIER</v>
      </c>
      <c r="D266" s="48" t="str">
        <f ca="1">IFERROR(__xludf.DUMMYFUNCTION("""COMPUTED_VALUE"""),"Jean Marc")</f>
        <v>Jean Marc</v>
      </c>
      <c r="E266" s="49" t="str">
        <f ca="1">IFERROR(__xludf.DUMMYFUNCTION("""COMPUTED_VALUE"""),"06510112")</f>
        <v>06510112</v>
      </c>
      <c r="F266" s="48" t="str">
        <f ca="1">IFERROR(__xludf.DUMMYFUNCTION("""COMPUTED_VALUE"""),"CHALONS-EN-CHAMPAGNE TT")</f>
        <v>CHALONS-EN-CHAMPAGNE TT</v>
      </c>
      <c r="G266" s="50" t="str">
        <f ca="1">IFERROR(__xludf.DUMMYFUNCTION("""COMPUTED_VALUE"""),"CD51")</f>
        <v>CD51</v>
      </c>
      <c r="H266" s="50" t="str">
        <f ca="1">IFERROR(__xludf.DUMMYFUNCTION("""COMPUTED_VALUE"""),"actif")</f>
        <v>actif</v>
      </c>
    </row>
    <row r="267" spans="1:8" ht="12.75">
      <c r="A267" s="46">
        <f ca="1">IFERROR(__xludf.DUMMYFUNCTION("""COMPUTED_VALUE"""),255)</f>
        <v>255</v>
      </c>
      <c r="B267" s="65" t="str">
        <f ca="1">IFERROR(__xludf.DUMMYFUNCTION("""COMPUTED_VALUE"""),"8811969")</f>
        <v>8811969</v>
      </c>
      <c r="C267" s="48" t="str">
        <f ca="1">IFERROR(__xludf.DUMMYFUNCTION("""COMPUTED_VALUE"""),"HAWECKER")</f>
        <v>HAWECKER</v>
      </c>
      <c r="D267" s="48" t="str">
        <f ca="1">IFERROR(__xludf.DUMMYFUNCTION("""COMPUTED_VALUE"""),"Jean Christophe")</f>
        <v>Jean Christophe</v>
      </c>
      <c r="E267" s="49" t="str">
        <f ca="1">IFERROR(__xludf.DUMMYFUNCTION("""COMPUTED_VALUE"""),"06880086")</f>
        <v>06880086</v>
      </c>
      <c r="F267" s="48" t="str">
        <f ca="1">IFERROR(__xludf.DUMMYFUNCTION("""COMPUTED_VALUE"""),"MOYENMOUTIER VRTT")</f>
        <v>MOYENMOUTIER VRTT</v>
      </c>
      <c r="G267" s="50" t="str">
        <f ca="1">IFERROR(__xludf.DUMMYFUNCTION("""COMPUTED_VALUE"""),"CD88")</f>
        <v>CD88</v>
      </c>
      <c r="H267" s="50" t="str">
        <f ca="1">IFERROR(__xludf.DUMMYFUNCTION("""COMPUTED_VALUE"""),"inactivité 1ère année")</f>
        <v>inactivité 1ère année</v>
      </c>
    </row>
    <row r="268" spans="1:8" ht="12.75">
      <c r="A268" s="46">
        <f ca="1">IFERROR(__xludf.DUMMYFUNCTION("""COMPUTED_VALUE"""),256)</f>
        <v>256</v>
      </c>
      <c r="B268" s="65" t="str">
        <f ca="1">IFERROR(__xludf.DUMMYFUNCTION("""COMPUTED_VALUE"""),"676111")</f>
        <v>676111</v>
      </c>
      <c r="C268" s="48" t="str">
        <f ca="1">IFERROR(__xludf.DUMMYFUNCTION("""COMPUTED_VALUE"""),"HEBRARD")</f>
        <v>HEBRARD</v>
      </c>
      <c r="D268" s="48" t="str">
        <f ca="1">IFERROR(__xludf.DUMMYFUNCTION("""COMPUTED_VALUE"""),"Frederic")</f>
        <v>Frederic</v>
      </c>
      <c r="E268" s="49" t="str">
        <f ca="1">IFERROR(__xludf.DUMMYFUNCTION("""COMPUTED_VALUE"""),"06670160")</f>
        <v>06670160</v>
      </c>
      <c r="F268" s="48" t="str">
        <f ca="1">IFERROR(__xludf.DUMMYFUNCTION("""COMPUTED_VALUE"""),"T.T.Haguenau Wissembourg")</f>
        <v>T.T.Haguenau Wissembourg</v>
      </c>
      <c r="G268" s="50" t="str">
        <f ca="1">IFERROR(__xludf.DUMMYFUNCTION("""COMPUTED_VALUE"""),"CD67")</f>
        <v>CD67</v>
      </c>
      <c r="H268" s="50" t="str">
        <f ca="1">IFERROR(__xludf.DUMMYFUNCTION("""COMPUTED_VALUE"""),"actif")</f>
        <v>actif</v>
      </c>
    </row>
    <row r="269" spans="1:8" ht="12.75">
      <c r="A269" s="46">
        <f ca="1">IFERROR(__xludf.DUMMYFUNCTION("""COMPUTED_VALUE"""),257)</f>
        <v>257</v>
      </c>
      <c r="B269" s="65" t="str">
        <f ca="1">IFERROR(__xludf.DUMMYFUNCTION("""COMPUTED_VALUE"""),"101231")</f>
        <v>101231</v>
      </c>
      <c r="C269" s="48" t="str">
        <f ca="1">IFERROR(__xludf.DUMMYFUNCTION("""COMPUTED_VALUE"""),"HEMONNOT")</f>
        <v>HEMONNOT</v>
      </c>
      <c r="D269" s="48" t="str">
        <f ca="1">IFERROR(__xludf.DUMMYFUNCTION("""COMPUTED_VALUE"""),"Patrick")</f>
        <v>Patrick</v>
      </c>
      <c r="E269" s="49" t="str">
        <f ca="1">IFERROR(__xludf.DUMMYFUNCTION("""COMPUTED_VALUE"""),"06100015")</f>
        <v>06100015</v>
      </c>
      <c r="F269" s="48" t="str">
        <f ca="1">IFERROR(__xludf.DUMMYFUNCTION("""COMPUTED_VALUE"""),"TROYES JEUNE GARDE")</f>
        <v>TROYES JEUNE GARDE</v>
      </c>
      <c r="G269" s="50" t="str">
        <f ca="1">IFERROR(__xludf.DUMMYFUNCTION("""COMPUTED_VALUE"""),"CD10")</f>
        <v>CD10</v>
      </c>
      <c r="H269" s="50" t="str">
        <f ca="1">IFERROR(__xludf.DUMMYFUNCTION("""COMPUTED_VALUE"""),"inactivité 3ème année")</f>
        <v>inactivité 3ème année</v>
      </c>
    </row>
    <row r="270" spans="1:8" ht="12.75">
      <c r="A270" s="46">
        <f ca="1">IFERROR(__xludf.DUMMYFUNCTION("""COMPUTED_VALUE"""),258)</f>
        <v>258</v>
      </c>
      <c r="B270" s="65" t="str">
        <f ca="1">IFERROR(__xludf.DUMMYFUNCTION("""COMPUTED_VALUE"""),"5425920")</f>
        <v>5425920</v>
      </c>
      <c r="C270" s="48" t="str">
        <f ca="1">IFERROR(__xludf.DUMMYFUNCTION("""COMPUTED_VALUE"""),"HENCK")</f>
        <v>HENCK</v>
      </c>
      <c r="D270" s="48" t="str">
        <f ca="1">IFERROR(__xludf.DUMMYFUNCTION("""COMPUTED_VALUE"""),"Maeva")</f>
        <v>Maeva</v>
      </c>
      <c r="E270" s="49" t="str">
        <f ca="1">IFERROR(__xludf.DUMMYFUNCTION("""COMPUTED_VALUE"""),"06540040")</f>
        <v>06540040</v>
      </c>
      <c r="F270" s="48" t="str">
        <f ca="1">IFERROR(__xludf.DUMMYFUNCTION("""COMPUTED_VALUE"""),"VILLERS LES NANCY C.O.S.")</f>
        <v>VILLERS LES NANCY C.O.S.</v>
      </c>
      <c r="G270" s="50" t="str">
        <f ca="1">IFERROR(__xludf.DUMMYFUNCTION("""COMPUTED_VALUE"""),"CD54")</f>
        <v>CD54</v>
      </c>
      <c r="H270" s="50" t="str">
        <f ca="1">IFERROR(__xludf.DUMMYFUNCTION("""COMPUTED_VALUE"""),"inactivité 1ère année")</f>
        <v>inactivité 1ère année</v>
      </c>
    </row>
    <row r="271" spans="1:8" ht="12.75">
      <c r="A271" s="46">
        <f ca="1">IFERROR(__xludf.DUMMYFUNCTION("""COMPUTED_VALUE"""),259)</f>
        <v>259</v>
      </c>
      <c r="B271" s="65" t="str">
        <f ca="1">IFERROR(__xludf.DUMMYFUNCTION("""COMPUTED_VALUE"""),"08150")</f>
        <v>08150</v>
      </c>
      <c r="C271" s="48" t="str">
        <f ca="1">IFERROR(__xludf.DUMMYFUNCTION("""COMPUTED_VALUE"""),"HENRARD")</f>
        <v>HENRARD</v>
      </c>
      <c r="D271" s="48" t="str">
        <f ca="1">IFERROR(__xludf.DUMMYFUNCTION("""COMPUTED_VALUE"""),"Jackie")</f>
        <v>Jackie</v>
      </c>
      <c r="E271" s="49" t="str">
        <f ca="1">IFERROR(__xludf.DUMMYFUNCTION("""COMPUTED_VALUE"""),"06080072")</f>
        <v>06080072</v>
      </c>
      <c r="F271" s="48" t="str">
        <f ca="1">IFERROR(__xludf.DUMMYFUNCTION("""COMPUTED_VALUE"""),"POIX TERRON CTT")</f>
        <v>POIX TERRON CTT</v>
      </c>
      <c r="G271" s="50" t="str">
        <f ca="1">IFERROR(__xludf.DUMMYFUNCTION("""COMPUTED_VALUE"""),"CD08")</f>
        <v>CD08</v>
      </c>
      <c r="H271" s="50" t="str">
        <f ca="1">IFERROR(__xludf.DUMMYFUNCTION("""COMPUTED_VALUE"""),"inactivité 3ème année")</f>
        <v>inactivité 3ème année</v>
      </c>
    </row>
    <row r="272" spans="1:8" ht="12.75">
      <c r="A272" s="46">
        <f ca="1">IFERROR(__xludf.DUMMYFUNCTION("""COMPUTED_VALUE"""),260)</f>
        <v>260</v>
      </c>
      <c r="B272" s="65" t="str">
        <f ca="1">IFERROR(__xludf.DUMMYFUNCTION("""COMPUTED_VALUE"""),"577180")</f>
        <v>577180</v>
      </c>
      <c r="C272" s="48" t="str">
        <f ca="1">IFERROR(__xludf.DUMMYFUNCTION("""COMPUTED_VALUE"""),"HERINGER")</f>
        <v>HERINGER</v>
      </c>
      <c r="D272" s="48" t="str">
        <f ca="1">IFERROR(__xludf.DUMMYFUNCTION("""COMPUTED_VALUE"""),"Denis")</f>
        <v>Denis</v>
      </c>
      <c r="E272" s="49" t="str">
        <f ca="1">IFERROR(__xludf.DUMMYFUNCTION("""COMPUTED_VALUE"""),"06570154")</f>
        <v>06570154</v>
      </c>
      <c r="F272" s="48" t="str">
        <f ca="1">IFERROR(__xludf.DUMMYFUNCTION("""COMPUTED_VALUE"""),"SAINT JEAN KOURTZERODE LJ")</f>
        <v>SAINT JEAN KOURTZERODE LJ</v>
      </c>
      <c r="G272" s="50" t="str">
        <f ca="1">IFERROR(__xludf.DUMMYFUNCTION("""COMPUTED_VALUE"""),"CD57")</f>
        <v>CD57</v>
      </c>
      <c r="H272" s="50" t="str">
        <f ca="1">IFERROR(__xludf.DUMMYFUNCTION("""COMPUTED_VALUE"""),"inactivité 2ème année")</f>
        <v>inactivité 2ème année</v>
      </c>
    </row>
    <row r="273" spans="1:8" ht="12.75">
      <c r="A273" s="46">
        <f ca="1">IFERROR(__xludf.DUMMYFUNCTION("""COMPUTED_VALUE"""),261)</f>
        <v>261</v>
      </c>
      <c r="B273" s="65" t="str">
        <f ca="1">IFERROR(__xludf.DUMMYFUNCTION("""COMPUTED_VALUE"""),"5710732")</f>
        <v>5710732</v>
      </c>
      <c r="C273" s="48" t="str">
        <f ca="1">IFERROR(__xludf.DUMMYFUNCTION("""COMPUTED_VALUE"""),"HERINGER")</f>
        <v>HERINGER</v>
      </c>
      <c r="D273" s="48" t="str">
        <f ca="1">IFERROR(__xludf.DUMMYFUNCTION("""COMPUTED_VALUE"""),"Michael")</f>
        <v>Michael</v>
      </c>
      <c r="E273" s="49" t="str">
        <f ca="1">IFERROR(__xludf.DUMMYFUNCTION("""COMPUTED_VALUE"""),"06570154")</f>
        <v>06570154</v>
      </c>
      <c r="F273" s="48" t="str">
        <f ca="1">IFERROR(__xludf.DUMMYFUNCTION("""COMPUTED_VALUE"""),"SAINT JEAN KOURTZERODE LJ")</f>
        <v>SAINT JEAN KOURTZERODE LJ</v>
      </c>
      <c r="G273" s="50" t="str">
        <f ca="1">IFERROR(__xludf.DUMMYFUNCTION("""COMPUTED_VALUE"""),"CD57")</f>
        <v>CD57</v>
      </c>
      <c r="H273" s="50" t="str">
        <f ca="1">IFERROR(__xludf.DUMMYFUNCTION("""COMPUTED_VALUE"""),"inactivité 1ère année")</f>
        <v>inactivité 1ère année</v>
      </c>
    </row>
    <row r="274" spans="1:8" ht="12.75">
      <c r="A274" s="46">
        <f ca="1">IFERROR(__xludf.DUMMYFUNCTION("""COMPUTED_VALUE"""),262)</f>
        <v>262</v>
      </c>
      <c r="B274" s="65" t="str">
        <f ca="1">IFERROR(__xludf.DUMMYFUNCTION("""COMPUTED_VALUE"""),"688906")</f>
        <v>688906</v>
      </c>
      <c r="C274" s="48" t="str">
        <f ca="1">IFERROR(__xludf.DUMMYFUNCTION("""COMPUTED_VALUE"""),"HERNANDEZ")</f>
        <v>HERNANDEZ</v>
      </c>
      <c r="D274" s="48" t="str">
        <f ca="1">IFERROR(__xludf.DUMMYFUNCTION("""COMPUTED_VALUE"""),"Norbert")</f>
        <v>Norbert</v>
      </c>
      <c r="E274" s="49" t="str">
        <f ca="1">IFERROR(__xludf.DUMMYFUNCTION("""COMPUTED_VALUE"""),"06680125")</f>
        <v>06680125</v>
      </c>
      <c r="F274" s="48" t="str">
        <f ca="1">IFERROR(__xludf.DUMMYFUNCTION("""COMPUTED_VALUE"""),"ROSENAU TT")</f>
        <v>ROSENAU TT</v>
      </c>
      <c r="G274" s="50" t="str">
        <f ca="1">IFERROR(__xludf.DUMMYFUNCTION("""COMPUTED_VALUE"""),"CD68")</f>
        <v>CD68</v>
      </c>
      <c r="H274" s="50" t="str">
        <f ca="1">IFERROR(__xludf.DUMMYFUNCTION("""COMPUTED_VALUE"""),"inactivité 2ème année")</f>
        <v>inactivité 2ème année</v>
      </c>
    </row>
    <row r="275" spans="1:8" ht="12.75">
      <c r="A275" s="46">
        <f ca="1">IFERROR(__xludf.DUMMYFUNCTION("""COMPUTED_VALUE"""),263)</f>
        <v>263</v>
      </c>
      <c r="B275" s="65" t="str">
        <f ca="1">IFERROR(__xludf.DUMMYFUNCTION("""COMPUTED_VALUE"""),"578782")</f>
        <v>578782</v>
      </c>
      <c r="C275" s="48" t="str">
        <f ca="1">IFERROR(__xludf.DUMMYFUNCTION("""COMPUTED_VALUE"""),"HERTWEG")</f>
        <v>HERTWEG</v>
      </c>
      <c r="D275" s="48" t="str">
        <f ca="1">IFERROR(__xludf.DUMMYFUNCTION("""COMPUTED_VALUE"""),"Pascal")</f>
        <v>Pascal</v>
      </c>
      <c r="E275" s="49" t="str">
        <f ca="1">IFERROR(__xludf.DUMMYFUNCTION("""COMPUTED_VALUE"""),"06570019")</f>
        <v>06570019</v>
      </c>
      <c r="F275" s="48" t="str">
        <f ca="1">IFERROR(__xludf.DUMMYFUNCTION("""COMPUTED_VALUE"""),"SAINT AVOLD C.T.T.")</f>
        <v>SAINT AVOLD C.T.T.</v>
      </c>
      <c r="G275" s="50" t="str">
        <f ca="1">IFERROR(__xludf.DUMMYFUNCTION("""COMPUTED_VALUE"""),"CD57")</f>
        <v>CD57</v>
      </c>
      <c r="H275" s="50" t="str">
        <f ca="1">IFERROR(__xludf.DUMMYFUNCTION("""COMPUTED_VALUE"""),"inactivité 1ère année")</f>
        <v>inactivité 1ère année</v>
      </c>
    </row>
    <row r="276" spans="1:8" ht="12.75">
      <c r="A276" s="46">
        <f ca="1">IFERROR(__xludf.DUMMYFUNCTION("""COMPUTED_VALUE"""),264)</f>
        <v>264</v>
      </c>
      <c r="B276" s="65" t="str">
        <f ca="1">IFERROR(__xludf.DUMMYFUNCTION("""COMPUTED_VALUE"""),"5413169")</f>
        <v>5413169</v>
      </c>
      <c r="C276" s="48" t="str">
        <f ca="1">IFERROR(__xludf.DUMMYFUNCTION("""COMPUTED_VALUE"""),"HEURTEFEU")</f>
        <v>HEURTEFEU</v>
      </c>
      <c r="D276" s="48" t="str">
        <f ca="1">IFERROR(__xludf.DUMMYFUNCTION("""COMPUTED_VALUE"""),"Yannick")</f>
        <v>Yannick</v>
      </c>
      <c r="E276" s="49" t="str">
        <f ca="1">IFERROR(__xludf.DUMMYFUNCTION("""COMPUTED_VALUE"""),"06540008")</f>
        <v>06540008</v>
      </c>
      <c r="F276" s="48" t="str">
        <f ca="1">IFERROR(__xludf.DUMMYFUNCTION("""COMPUTED_VALUE"""),"ESSEY-SEICHAMPS T.T.")</f>
        <v>ESSEY-SEICHAMPS T.T.</v>
      </c>
      <c r="G276" s="50" t="str">
        <f ca="1">IFERROR(__xludf.DUMMYFUNCTION("""COMPUTED_VALUE"""),"CD54")</f>
        <v>CD54</v>
      </c>
      <c r="H276" s="50" t="str">
        <f ca="1">IFERROR(__xludf.DUMMYFUNCTION("""COMPUTED_VALUE"""),"inactivité 1ère année")</f>
        <v>inactivité 1ère année</v>
      </c>
    </row>
    <row r="277" spans="1:8" ht="12.75">
      <c r="A277" s="46">
        <f ca="1">IFERROR(__xludf.DUMMYFUNCTION("""COMPUTED_VALUE"""),265)</f>
        <v>265</v>
      </c>
      <c r="B277" s="65" t="str">
        <f ca="1">IFERROR(__xludf.DUMMYFUNCTION("""COMPUTED_VALUE"""),"6718967")</f>
        <v>6718967</v>
      </c>
      <c r="C277" s="48" t="str">
        <f ca="1">IFERROR(__xludf.DUMMYFUNCTION("""COMPUTED_VALUE"""),"HIMBER")</f>
        <v>HIMBER</v>
      </c>
      <c r="D277" s="48" t="str">
        <f ca="1">IFERROR(__xludf.DUMMYFUNCTION("""COMPUTED_VALUE"""),"Jean-Claude")</f>
        <v>Jean-Claude</v>
      </c>
      <c r="E277" s="49" t="str">
        <f ca="1">IFERROR(__xludf.DUMMYFUNCTION("""COMPUTED_VALUE"""),"06670045")</f>
        <v>06670045</v>
      </c>
      <c r="F277" s="48" t="str">
        <f ca="1">IFERROR(__xludf.DUMMYFUNCTION("""COMPUTED_VALUE"""),"STRASBOURG RC")</f>
        <v>STRASBOURG RC</v>
      </c>
      <c r="G277" s="50" t="str">
        <f ca="1">IFERROR(__xludf.DUMMYFUNCTION("""COMPUTED_VALUE"""),"CD67")</f>
        <v>CD67</v>
      </c>
      <c r="H277" s="50" t="str">
        <f ca="1">IFERROR(__xludf.DUMMYFUNCTION("""COMPUTED_VALUE"""),"actif")</f>
        <v>actif</v>
      </c>
    </row>
    <row r="278" spans="1:8" ht="12.75">
      <c r="A278" s="46">
        <f ca="1">IFERROR(__xludf.DUMMYFUNCTION("""COMPUTED_VALUE"""),266)</f>
        <v>266</v>
      </c>
      <c r="B278" s="65" t="str">
        <f ca="1">IFERROR(__xludf.DUMMYFUNCTION("""COMPUTED_VALUE"""),"6733478")</f>
        <v>6733478</v>
      </c>
      <c r="C278" s="48" t="str">
        <f ca="1">IFERROR(__xludf.DUMMYFUNCTION("""COMPUTED_VALUE"""),"HOFFMANN")</f>
        <v>HOFFMANN</v>
      </c>
      <c r="D278" s="48" t="str">
        <f ca="1">IFERROR(__xludf.DUMMYFUNCTION("""COMPUTED_VALUE"""),"Julien")</f>
        <v>Julien</v>
      </c>
      <c r="E278" s="49" t="str">
        <f ca="1">IFERROR(__xludf.DUMMYFUNCTION("""COMPUTED_VALUE"""),"06670270")</f>
        <v>06670270</v>
      </c>
      <c r="F278" s="48" t="str">
        <f ca="1">IFERROR(__xludf.DUMMYFUNCTION("""COMPUTED_VALUE"""),"STRASBOURG EUROMETROPOLE TT")</f>
        <v>STRASBOURG EUROMETROPOLE TT</v>
      </c>
      <c r="G278" s="50" t="str">
        <f ca="1">IFERROR(__xludf.DUMMYFUNCTION("""COMPUTED_VALUE"""),"CD67")</f>
        <v>CD67</v>
      </c>
      <c r="H278" s="50" t="str">
        <f ca="1">IFERROR(__xludf.DUMMYFUNCTION("""COMPUTED_VALUE"""),"actif")</f>
        <v>actif</v>
      </c>
    </row>
    <row r="279" spans="1:8" ht="12.75">
      <c r="A279" s="46">
        <f ca="1">IFERROR(__xludf.DUMMYFUNCTION("""COMPUTED_VALUE"""),267)</f>
        <v>267</v>
      </c>
      <c r="B279" s="65" t="str">
        <f ca="1">IFERROR(__xludf.DUMMYFUNCTION("""COMPUTED_VALUE"""),"57166")</f>
        <v>57166</v>
      </c>
      <c r="C279" s="48" t="str">
        <f ca="1">IFERROR(__xludf.DUMMYFUNCTION("""COMPUTED_VALUE"""),"HOSY")</f>
        <v>HOSY</v>
      </c>
      <c r="D279" s="48" t="str">
        <f ca="1">IFERROR(__xludf.DUMMYFUNCTION("""COMPUTED_VALUE"""),"Remi")</f>
        <v>Remi</v>
      </c>
      <c r="E279" s="49" t="str">
        <f ca="1">IFERROR(__xludf.DUMMYFUNCTION("""COMPUTED_VALUE"""),"06570014")</f>
        <v>06570014</v>
      </c>
      <c r="F279" s="48" t="str">
        <f ca="1">IFERROR(__xludf.DUMMYFUNCTION("""COMPUTED_VALUE"""),"MANOM J.S.")</f>
        <v>MANOM J.S.</v>
      </c>
      <c r="G279" s="50" t="str">
        <f ca="1">IFERROR(__xludf.DUMMYFUNCTION("""COMPUTED_VALUE"""),"CD57")</f>
        <v>CD57</v>
      </c>
      <c r="H279" s="50" t="str">
        <f ca="1">IFERROR(__xludf.DUMMYFUNCTION("""COMPUTED_VALUE"""),"actif")</f>
        <v>actif</v>
      </c>
    </row>
    <row r="280" spans="1:8" ht="12.75">
      <c r="A280" s="46">
        <f ca="1">IFERROR(__xludf.DUMMYFUNCTION("""COMPUTED_VALUE"""),268)</f>
        <v>268</v>
      </c>
      <c r="B280" s="65" t="str">
        <f ca="1">IFERROR(__xludf.DUMMYFUNCTION("""COMPUTED_VALUE"""),"57165")</f>
        <v>57165</v>
      </c>
      <c r="C280" s="48" t="str">
        <f ca="1">IFERROR(__xludf.DUMMYFUNCTION("""COMPUTED_VALUE"""),"HOSY")</f>
        <v>HOSY</v>
      </c>
      <c r="D280" s="48" t="str">
        <f ca="1">IFERROR(__xludf.DUMMYFUNCTION("""COMPUTED_VALUE"""),"Jean Luc")</f>
        <v>Jean Luc</v>
      </c>
      <c r="E280" s="49" t="str">
        <f ca="1">IFERROR(__xludf.DUMMYFUNCTION("""COMPUTED_VALUE"""),"06570014")</f>
        <v>06570014</v>
      </c>
      <c r="F280" s="48" t="str">
        <f ca="1">IFERROR(__xludf.DUMMYFUNCTION("""COMPUTED_VALUE"""),"MANOM J.S.")</f>
        <v>MANOM J.S.</v>
      </c>
      <c r="G280" s="50" t="str">
        <f ca="1">IFERROR(__xludf.DUMMYFUNCTION("""COMPUTED_VALUE"""),"CD57")</f>
        <v>CD57</v>
      </c>
      <c r="H280" s="50" t="str">
        <f ca="1">IFERROR(__xludf.DUMMYFUNCTION("""COMPUTED_VALUE"""),"inactivité 2ème année")</f>
        <v>inactivité 2ème année</v>
      </c>
    </row>
    <row r="281" spans="1:8" ht="12.75">
      <c r="A281" s="46">
        <f ca="1">IFERROR(__xludf.DUMMYFUNCTION("""COMPUTED_VALUE"""),269)</f>
        <v>269</v>
      </c>
      <c r="B281" s="65" t="str">
        <f ca="1">IFERROR(__xludf.DUMMYFUNCTION("""COMPUTED_VALUE"""),"5711140")</f>
        <v>5711140</v>
      </c>
      <c r="C281" s="48" t="str">
        <f ca="1">IFERROR(__xludf.DUMMYFUNCTION("""COMPUTED_VALUE"""),"HOSY")</f>
        <v>HOSY</v>
      </c>
      <c r="D281" s="48" t="str">
        <f ca="1">IFERROR(__xludf.DUMMYFUNCTION("""COMPUTED_VALUE"""),"Angeline")</f>
        <v>Angeline</v>
      </c>
      <c r="E281" s="49" t="str">
        <f ca="1">IFERROR(__xludf.DUMMYFUNCTION("""COMPUTED_VALUE"""),"06570014")</f>
        <v>06570014</v>
      </c>
      <c r="F281" s="48" t="str">
        <f ca="1">IFERROR(__xludf.DUMMYFUNCTION("""COMPUTED_VALUE"""),"MANOM J.S.")</f>
        <v>MANOM J.S.</v>
      </c>
      <c r="G281" s="50" t="str">
        <f ca="1">IFERROR(__xludf.DUMMYFUNCTION("""COMPUTED_VALUE"""),"CD57")</f>
        <v>CD57</v>
      </c>
      <c r="H281" s="50" t="str">
        <f ca="1">IFERROR(__xludf.DUMMYFUNCTION("""COMPUTED_VALUE"""),"inactivité 2ème année")</f>
        <v>inactivité 2ème année</v>
      </c>
    </row>
    <row r="282" spans="1:8" ht="12.75">
      <c r="A282" s="46">
        <f ca="1">IFERROR(__xludf.DUMMYFUNCTION("""COMPUTED_VALUE"""),270)</f>
        <v>270</v>
      </c>
      <c r="B282" s="65" t="str">
        <f ca="1">IFERROR(__xludf.DUMMYFUNCTION("""COMPUTED_VALUE"""),"6814075")</f>
        <v>6814075</v>
      </c>
      <c r="C282" s="48" t="str">
        <f ca="1">IFERROR(__xludf.DUMMYFUNCTION("""COMPUTED_VALUE"""),"HOUIOUA")</f>
        <v>HOUIOUA</v>
      </c>
      <c r="D282" s="48" t="str">
        <f ca="1">IFERROR(__xludf.DUMMYFUNCTION("""COMPUTED_VALUE"""),"Noa")</f>
        <v>Noa</v>
      </c>
      <c r="E282" s="49" t="str">
        <f ca="1">IFERROR(__xludf.DUMMYFUNCTION("""COMPUTED_VALUE"""),"06680105")</f>
        <v>06680105</v>
      </c>
      <c r="F282" s="48" t="str">
        <f ca="1">IFERROR(__xludf.DUMMYFUNCTION("""COMPUTED_VALUE"""),"MULHOUSE TENNIS DE TABLE")</f>
        <v>MULHOUSE TENNIS DE TABLE</v>
      </c>
      <c r="G282" s="50" t="str">
        <f ca="1">IFERROR(__xludf.DUMMYFUNCTION("""COMPUTED_VALUE"""),"CD68")</f>
        <v>CD68</v>
      </c>
      <c r="H282" s="50" t="str">
        <f ca="1">IFERROR(__xludf.DUMMYFUNCTION("""COMPUTED_VALUE"""),"inactivité 1ère année")</f>
        <v>inactivité 1ère année</v>
      </c>
    </row>
    <row r="283" spans="1:8" ht="12.75">
      <c r="A283" s="46">
        <f ca="1">IFERROR(__xludf.DUMMYFUNCTION("""COMPUTED_VALUE"""),271)</f>
        <v>271</v>
      </c>
      <c r="B283" s="65" t="str">
        <f ca="1">IFERROR(__xludf.DUMMYFUNCTION("""COMPUTED_VALUE"""),"5115961")</f>
        <v>5115961</v>
      </c>
      <c r="C283" s="48" t="str">
        <f ca="1">IFERROR(__xludf.DUMMYFUNCTION("""COMPUTED_VALUE"""),"HOUSSARD")</f>
        <v>HOUSSARD</v>
      </c>
      <c r="D283" s="48" t="str">
        <f ca="1">IFERROR(__xludf.DUMMYFUNCTION("""COMPUTED_VALUE"""),"Mickaël")</f>
        <v>Mickaël</v>
      </c>
      <c r="E283" s="49" t="str">
        <f ca="1">IFERROR(__xludf.DUMMYFUNCTION("""COMPUTED_VALUE"""),"06510009")</f>
        <v>06510009</v>
      </c>
      <c r="F283" s="48" t="str">
        <f ca="1">IFERROR(__xludf.DUMMYFUNCTION("""COMPUTED_VALUE"""),"FISMES ARDRE VESLE US")</f>
        <v>FISMES ARDRE VESLE US</v>
      </c>
      <c r="G283" s="50" t="str">
        <f ca="1">IFERROR(__xludf.DUMMYFUNCTION("""COMPUTED_VALUE"""),"CD51")</f>
        <v>CD51</v>
      </c>
      <c r="H283" s="50" t="str">
        <f ca="1">IFERROR(__xludf.DUMMYFUNCTION("""COMPUTED_VALUE"""),"actif")</f>
        <v>actif</v>
      </c>
    </row>
    <row r="284" spans="1:8" ht="12.75">
      <c r="A284" s="46">
        <f ca="1">IFERROR(__xludf.DUMMYFUNCTION("""COMPUTED_VALUE"""),272)</f>
        <v>272</v>
      </c>
      <c r="B284" s="65" t="str">
        <f ca="1">IFERROR(__xludf.DUMMYFUNCTION("""COMPUTED_VALUE"""),"6716724")</f>
        <v>6716724</v>
      </c>
      <c r="C284" s="48" t="str">
        <f ca="1">IFERROR(__xludf.DUMMYFUNCTION("""COMPUTED_VALUE"""),"HOUSSEAU")</f>
        <v>HOUSSEAU</v>
      </c>
      <c r="D284" s="48" t="str">
        <f ca="1">IFERROR(__xludf.DUMMYFUNCTION("""COMPUTED_VALUE"""),"Christophe")</f>
        <v>Christophe</v>
      </c>
      <c r="E284" s="49" t="str">
        <f ca="1">IFERROR(__xludf.DUMMYFUNCTION("""COMPUTED_VALUE"""),"06670270")</f>
        <v>06670270</v>
      </c>
      <c r="F284" s="48" t="str">
        <f ca="1">IFERROR(__xludf.DUMMYFUNCTION("""COMPUTED_VALUE"""),"STRASBOURG EUROMETROPOLE TT")</f>
        <v>STRASBOURG EUROMETROPOLE TT</v>
      </c>
      <c r="G284" s="50" t="str">
        <f ca="1">IFERROR(__xludf.DUMMYFUNCTION("""COMPUTED_VALUE"""),"CD67")</f>
        <v>CD67</v>
      </c>
      <c r="H284" s="50" t="str">
        <f ca="1">IFERROR(__xludf.DUMMYFUNCTION("""COMPUTED_VALUE"""),"actif")</f>
        <v>actif</v>
      </c>
    </row>
    <row r="285" spans="1:8" ht="12.75">
      <c r="A285" s="46">
        <f ca="1">IFERROR(__xludf.DUMMYFUNCTION("""COMPUTED_VALUE"""),273)</f>
        <v>273</v>
      </c>
      <c r="B285" s="65" t="str">
        <f ca="1">IFERROR(__xludf.DUMMYFUNCTION("""COMPUTED_VALUE"""),"677993")</f>
        <v>677993</v>
      </c>
      <c r="C285" s="48" t="str">
        <f ca="1">IFERROR(__xludf.DUMMYFUNCTION("""COMPUTED_VALUE"""),"HUBER")</f>
        <v>HUBER</v>
      </c>
      <c r="D285" s="48" t="str">
        <f ca="1">IFERROR(__xludf.DUMMYFUNCTION("""COMPUTED_VALUE"""),"Eric")</f>
        <v>Eric</v>
      </c>
      <c r="E285" s="49" t="str">
        <f ca="1">IFERROR(__xludf.DUMMYFUNCTION("""COMPUTED_VALUE"""),"06670187")</f>
        <v>06670187</v>
      </c>
      <c r="F285" s="48" t="str">
        <f ca="1">IFERROR(__xludf.DUMMYFUNCTION("""COMPUTED_VALUE"""),"SCHIRRHEIN-SCHIRRHOFFEN CSCSN")</f>
        <v>SCHIRRHEIN-SCHIRRHOFFEN CSCSN</v>
      </c>
      <c r="G285" s="50" t="str">
        <f ca="1">IFERROR(__xludf.DUMMYFUNCTION("""COMPUTED_VALUE"""),"CD67")</f>
        <v>CD67</v>
      </c>
      <c r="H285" s="50" t="str">
        <f ca="1">IFERROR(__xludf.DUMMYFUNCTION("""COMPUTED_VALUE"""),"inactivité 1ère année")</f>
        <v>inactivité 1ère année</v>
      </c>
    </row>
    <row r="286" spans="1:8" ht="12.75">
      <c r="A286" s="46">
        <f ca="1">IFERROR(__xludf.DUMMYFUNCTION("""COMPUTED_VALUE"""),274)</f>
        <v>274</v>
      </c>
      <c r="B286" s="65" t="str">
        <f ca="1">IFERROR(__xludf.DUMMYFUNCTION("""COMPUTED_VALUE"""),"081117")</f>
        <v>081117</v>
      </c>
      <c r="C286" s="48" t="str">
        <f ca="1">IFERROR(__xludf.DUMMYFUNCTION("""COMPUTED_VALUE"""),"HUBERT")</f>
        <v>HUBERT</v>
      </c>
      <c r="D286" s="48" t="str">
        <f ca="1">IFERROR(__xludf.DUMMYFUNCTION("""COMPUTED_VALUE"""),"Daniel")</f>
        <v>Daniel</v>
      </c>
      <c r="E286" s="49" t="str">
        <f ca="1">IFERROR(__xludf.DUMMYFUNCTION("""COMPUTED_VALUE"""),"06080047")</f>
        <v>06080047</v>
      </c>
      <c r="F286" s="48" t="str">
        <f ca="1">IFERROR(__xludf.DUMMYFUNCTION("""COMPUTED_VALUE"""),"MONTCY NOTRE DAME PPC")</f>
        <v>MONTCY NOTRE DAME PPC</v>
      </c>
      <c r="G286" s="50" t="str">
        <f ca="1">IFERROR(__xludf.DUMMYFUNCTION("""COMPUTED_VALUE"""),"CD08")</f>
        <v>CD08</v>
      </c>
      <c r="H286" s="50" t="str">
        <f ca="1">IFERROR(__xludf.DUMMYFUNCTION("""COMPUTED_VALUE"""),"inactivité 3ème année")</f>
        <v>inactivité 3ème année</v>
      </c>
    </row>
    <row r="287" spans="1:8" ht="12.75">
      <c r="A287" s="46">
        <f ca="1">IFERROR(__xludf.DUMMYFUNCTION("""COMPUTED_VALUE"""),275)</f>
        <v>275</v>
      </c>
      <c r="B287" s="65" t="str">
        <f ca="1">IFERROR(__xludf.DUMMYFUNCTION("""COMPUTED_VALUE"""),"67712")</f>
        <v>67712</v>
      </c>
      <c r="C287" s="48" t="str">
        <f ca="1">IFERROR(__xludf.DUMMYFUNCTION("""COMPUTED_VALUE"""),"HUBRECHT")</f>
        <v>HUBRECHT</v>
      </c>
      <c r="D287" s="48" t="str">
        <f ca="1">IFERROR(__xludf.DUMMYFUNCTION("""COMPUTED_VALUE"""),"Claude")</f>
        <v>Claude</v>
      </c>
      <c r="E287" s="49" t="str">
        <f ca="1">IFERROR(__xludf.DUMMYFUNCTION("""COMPUTED_VALUE"""),"06670010")</f>
        <v>06670010</v>
      </c>
      <c r="F287" s="48" t="str">
        <f ca="1">IFERROR(__xludf.DUMMYFUNCTION("""COMPUTED_VALUE"""),"SCHILTIGHEIM SU TT")</f>
        <v>SCHILTIGHEIM SU TT</v>
      </c>
      <c r="G287" s="50" t="str">
        <f ca="1">IFERROR(__xludf.DUMMYFUNCTION("""COMPUTED_VALUE"""),"CD67")</f>
        <v>CD67</v>
      </c>
      <c r="H287" s="50" t="str">
        <f ca="1">IFERROR(__xludf.DUMMYFUNCTION("""COMPUTED_VALUE"""),"inactivité 3ème année")</f>
        <v>inactivité 3ème année</v>
      </c>
    </row>
    <row r="288" spans="1:8" ht="12.75">
      <c r="A288" s="46">
        <f ca="1">IFERROR(__xludf.DUMMYFUNCTION("""COMPUTED_VALUE"""),276)</f>
        <v>276</v>
      </c>
      <c r="B288" s="65" t="str">
        <f ca="1">IFERROR(__xludf.DUMMYFUNCTION("""COMPUTED_VALUE"""),"686956")</f>
        <v>686956</v>
      </c>
      <c r="C288" s="48" t="str">
        <f ca="1">IFERROR(__xludf.DUMMYFUNCTION("""COMPUTED_VALUE"""),"HUEBER")</f>
        <v>HUEBER</v>
      </c>
      <c r="D288" s="48" t="str">
        <f ca="1">IFERROR(__xludf.DUMMYFUNCTION("""COMPUTED_VALUE"""),"Christophe")</f>
        <v>Christophe</v>
      </c>
      <c r="E288" s="49" t="str">
        <f ca="1">IFERROR(__xludf.DUMMYFUNCTION("""COMPUTED_VALUE"""),"06680011")</f>
        <v>06680011</v>
      </c>
      <c r="F288" s="48" t="str">
        <f ca="1">IFERROR(__xludf.DUMMYFUNCTION("""COMPUTED_VALUE"""),"RIXHEIM PPA")</f>
        <v>RIXHEIM PPA</v>
      </c>
      <c r="G288" s="50" t="str">
        <f ca="1">IFERROR(__xludf.DUMMYFUNCTION("""COMPUTED_VALUE"""),"CD68")</f>
        <v>CD68</v>
      </c>
      <c r="H288" s="50" t="str">
        <f ca="1">IFERROR(__xludf.DUMMYFUNCTION("""COMPUTED_VALUE"""),"inactivité 3ème année")</f>
        <v>inactivité 3ème année</v>
      </c>
    </row>
    <row r="289" spans="1:8" ht="12.75">
      <c r="A289" s="46">
        <f ca="1">IFERROR(__xludf.DUMMYFUNCTION("""COMPUTED_VALUE"""),277)</f>
        <v>277</v>
      </c>
      <c r="B289" s="65" t="str">
        <f ca="1">IFERROR(__xludf.DUMMYFUNCTION("""COMPUTED_VALUE"""),"883705")</f>
        <v>883705</v>
      </c>
      <c r="C289" s="48" t="str">
        <f ca="1">IFERROR(__xludf.DUMMYFUNCTION("""COMPUTED_VALUE"""),"HUGNY")</f>
        <v>HUGNY</v>
      </c>
      <c r="D289" s="48" t="str">
        <f ca="1">IFERROR(__xludf.DUMMYFUNCTION("""COMPUTED_VALUE"""),"Yannick")</f>
        <v>Yannick</v>
      </c>
      <c r="E289" s="49" t="str">
        <f ca="1">IFERROR(__xludf.DUMMYFUNCTION("""COMPUTED_VALUE"""),"06880017")</f>
        <v>06880017</v>
      </c>
      <c r="F289" s="48" t="str">
        <f ca="1">IFERROR(__xludf.DUMMYFUNCTION("""COMPUTED_VALUE"""),"UZEMAIN")</f>
        <v>UZEMAIN</v>
      </c>
      <c r="G289" s="50" t="str">
        <f ca="1">IFERROR(__xludf.DUMMYFUNCTION("""COMPUTED_VALUE"""),"CD88")</f>
        <v>CD88</v>
      </c>
      <c r="H289" s="50" t="str">
        <f ca="1">IFERROR(__xludf.DUMMYFUNCTION("""COMPUTED_VALUE"""),"inactivité 2ème année")</f>
        <v>inactivité 2ème année</v>
      </c>
    </row>
    <row r="290" spans="1:8" ht="12.75">
      <c r="A290" s="46">
        <f ca="1">IFERROR(__xludf.DUMMYFUNCTION("""COMPUTED_VALUE"""),278)</f>
        <v>278</v>
      </c>
      <c r="B290" s="65" t="str">
        <f ca="1">IFERROR(__xludf.DUMMYFUNCTION("""COMPUTED_VALUE"""),"836759")</f>
        <v>836759</v>
      </c>
      <c r="C290" s="48" t="str">
        <f ca="1">IFERROR(__xludf.DUMMYFUNCTION("""COMPUTED_VALUE"""),"HUMBERT")</f>
        <v>HUMBERT</v>
      </c>
      <c r="D290" s="48" t="str">
        <f ca="1">IFERROR(__xludf.DUMMYFUNCTION("""COMPUTED_VALUE"""),"Jerome")</f>
        <v>Jerome</v>
      </c>
      <c r="E290" s="49" t="str">
        <f ca="1">IFERROR(__xludf.DUMMYFUNCTION("""COMPUTED_VALUE"""),"06880123")</f>
        <v>06880123</v>
      </c>
      <c r="F290" s="48" t="str">
        <f ca="1">IFERROR(__xludf.DUMMYFUNCTION("""COMPUTED_VALUE"""),"ETIVAL ASRTT")</f>
        <v>ETIVAL ASRTT</v>
      </c>
      <c r="G290" s="50" t="str">
        <f ca="1">IFERROR(__xludf.DUMMYFUNCTION("""COMPUTED_VALUE"""),"CD88")</f>
        <v>CD88</v>
      </c>
      <c r="H290" s="50" t="str">
        <f ca="1">IFERROR(__xludf.DUMMYFUNCTION("""COMPUTED_VALUE"""),"inactivité 1ère année")</f>
        <v>inactivité 1ère année</v>
      </c>
    </row>
    <row r="291" spans="1:8" ht="12.75">
      <c r="A291" s="46">
        <f ca="1">IFERROR(__xludf.DUMMYFUNCTION("""COMPUTED_VALUE"""),279)</f>
        <v>279</v>
      </c>
      <c r="B291" s="65" t="str">
        <f ca="1">IFERROR(__xludf.DUMMYFUNCTION("""COMPUTED_VALUE"""),"6731276")</f>
        <v>6731276</v>
      </c>
      <c r="C291" s="48" t="str">
        <f ca="1">IFERROR(__xludf.DUMMYFUNCTION("""COMPUTED_VALUE"""),"HURSTEL")</f>
        <v>HURSTEL</v>
      </c>
      <c r="D291" s="48" t="str">
        <f ca="1">IFERROR(__xludf.DUMMYFUNCTION("""COMPUTED_VALUE"""),"Cyrille")</f>
        <v>Cyrille</v>
      </c>
      <c r="E291" s="49" t="str">
        <f ca="1">IFERROR(__xludf.DUMMYFUNCTION("""COMPUTED_VALUE"""),"06670122")</f>
        <v>06670122</v>
      </c>
      <c r="F291" s="48" t="str">
        <f ca="1">IFERROR(__xludf.DUMMYFUNCTION("""COMPUTED_VALUE"""),"OBERNAI CA")</f>
        <v>OBERNAI CA</v>
      </c>
      <c r="G291" s="50" t="str">
        <f ca="1">IFERROR(__xludf.DUMMYFUNCTION("""COMPUTED_VALUE"""),"CD67")</f>
        <v>CD67</v>
      </c>
      <c r="H291" s="50" t="str">
        <f ca="1">IFERROR(__xludf.DUMMYFUNCTION("""COMPUTED_VALUE"""),"actif")</f>
        <v>actif</v>
      </c>
    </row>
    <row r="292" spans="1:8" ht="12.75">
      <c r="A292" s="46">
        <f ca="1">IFERROR(__xludf.DUMMYFUNCTION("""COMPUTED_VALUE"""),280)</f>
        <v>280</v>
      </c>
      <c r="B292" s="65" t="str">
        <f ca="1">IFERROR(__xludf.DUMMYFUNCTION("""COMPUTED_VALUE"""),"6814319")</f>
        <v>6814319</v>
      </c>
      <c r="C292" s="48" t="str">
        <f ca="1">IFERROR(__xludf.DUMMYFUNCTION("""COMPUTED_VALUE"""),"HURTH")</f>
        <v>HURTH</v>
      </c>
      <c r="D292" s="48" t="str">
        <f ca="1">IFERROR(__xludf.DUMMYFUNCTION("""COMPUTED_VALUE"""),"Laurent")</f>
        <v>Laurent</v>
      </c>
      <c r="E292" s="49" t="str">
        <f ca="1">IFERROR(__xludf.DUMMYFUNCTION("""COMPUTED_VALUE"""),"06680071")</f>
        <v>06680071</v>
      </c>
      <c r="F292" s="48" t="str">
        <f ca="1">IFERROR(__xludf.DUMMYFUNCTION("""COMPUTED_VALUE"""),"ISSENHEIM TT")</f>
        <v>ISSENHEIM TT</v>
      </c>
      <c r="G292" s="50" t="str">
        <f ca="1">IFERROR(__xludf.DUMMYFUNCTION("""COMPUTED_VALUE"""),"CD68")</f>
        <v>CD68</v>
      </c>
      <c r="H292" s="50" t="str">
        <f ca="1">IFERROR(__xludf.DUMMYFUNCTION("""COMPUTED_VALUE"""),"inactivité 1ère année")</f>
        <v>inactivité 1ère année</v>
      </c>
    </row>
    <row r="293" spans="1:8" ht="12.75">
      <c r="A293" s="46">
        <f ca="1">IFERROR(__xludf.DUMMYFUNCTION("""COMPUTED_VALUE"""),281)</f>
        <v>281</v>
      </c>
      <c r="B293" s="65" t="str">
        <f ca="1">IFERROR(__xludf.DUMMYFUNCTION("""COMPUTED_VALUE"""),"102532")</f>
        <v>102532</v>
      </c>
      <c r="C293" s="48" t="str">
        <f ca="1">IFERROR(__xludf.DUMMYFUNCTION("""COMPUTED_VALUE"""),"IDOUX")</f>
        <v>IDOUX</v>
      </c>
      <c r="D293" s="48" t="str">
        <f ca="1">IFERROR(__xludf.DUMMYFUNCTION("""COMPUTED_VALUE"""),"Maximilien")</f>
        <v>Maximilien</v>
      </c>
      <c r="E293" s="49" t="str">
        <f ca="1">IFERROR(__xludf.DUMMYFUNCTION("""COMPUTED_VALUE"""),"06100021")</f>
        <v>06100021</v>
      </c>
      <c r="F293" s="48" t="str">
        <f ca="1">IFERROR(__xludf.DUMMYFUNCTION("""COMPUTED_VALUE"""),"ARCIS ASATT")</f>
        <v>ARCIS ASATT</v>
      </c>
      <c r="G293" s="50" t="str">
        <f ca="1">IFERROR(__xludf.DUMMYFUNCTION("""COMPUTED_VALUE"""),"CD10")</f>
        <v>CD10</v>
      </c>
      <c r="H293" s="50" t="str">
        <f ca="1">IFERROR(__xludf.DUMMYFUNCTION("""COMPUTED_VALUE"""),"inactivité 3ème année")</f>
        <v>inactivité 3ème année</v>
      </c>
    </row>
    <row r="294" spans="1:8" ht="12.75">
      <c r="A294" s="46">
        <f ca="1">IFERROR(__xludf.DUMMYFUNCTION("""COMPUTED_VALUE"""),282)</f>
        <v>282</v>
      </c>
      <c r="B294" s="65" t="str">
        <f ca="1">IFERROR(__xludf.DUMMYFUNCTION("""COMPUTED_VALUE"""),"6714638")</f>
        <v>6714638</v>
      </c>
      <c r="C294" s="48" t="str">
        <f ca="1">IFERROR(__xludf.DUMMYFUNCTION("""COMPUTED_VALUE"""),"INEICHEN")</f>
        <v>INEICHEN</v>
      </c>
      <c r="D294" s="48" t="str">
        <f ca="1">IFERROR(__xludf.DUMMYFUNCTION("""COMPUTED_VALUE"""),"Laurent")</f>
        <v>Laurent</v>
      </c>
      <c r="E294" s="49" t="str">
        <f ca="1">IFERROR(__xludf.DUMMYFUNCTION("""COMPUTED_VALUE"""),"06670002")</f>
        <v>06670002</v>
      </c>
      <c r="F294" s="48" t="str">
        <f ca="1">IFERROR(__xludf.DUMMYFUNCTION("""COMPUTED_VALUE"""),"STRASBOURG ST JEAN CS 1852")</f>
        <v>STRASBOURG ST JEAN CS 1852</v>
      </c>
      <c r="G294" s="50" t="str">
        <f ca="1">IFERROR(__xludf.DUMMYFUNCTION("""COMPUTED_VALUE"""),"CD67")</f>
        <v>CD67</v>
      </c>
      <c r="H294" s="50" t="str">
        <f ca="1">IFERROR(__xludf.DUMMYFUNCTION("""COMPUTED_VALUE"""),"inactivité 2ème année")</f>
        <v>inactivité 2ème année</v>
      </c>
    </row>
    <row r="295" spans="1:8" ht="12.75">
      <c r="A295" s="46">
        <f ca="1">IFERROR(__xludf.DUMMYFUNCTION("""COMPUTED_VALUE"""),283)</f>
        <v>283</v>
      </c>
      <c r="B295" s="65" t="str">
        <f ca="1">IFERROR(__xludf.DUMMYFUNCTION("""COMPUTED_VALUE"""),"521537")</f>
        <v>521537</v>
      </c>
      <c r="C295" s="48" t="str">
        <f ca="1">IFERROR(__xludf.DUMMYFUNCTION("""COMPUTED_VALUE"""),"JACQUOT")</f>
        <v>JACQUOT</v>
      </c>
      <c r="D295" s="48" t="str">
        <f ca="1">IFERROR(__xludf.DUMMYFUNCTION("""COMPUTED_VALUE"""),"Raymond")</f>
        <v>Raymond</v>
      </c>
      <c r="E295" s="49" t="str">
        <f ca="1">IFERROR(__xludf.DUMMYFUNCTION("""COMPUTED_VALUE"""),"06520001")</f>
        <v>06520001</v>
      </c>
      <c r="F295" s="48" t="str">
        <f ca="1">IFERROR(__xludf.DUMMYFUNCTION("""COMPUTED_VALUE"""),"ST DIZIER CSB")</f>
        <v>ST DIZIER CSB</v>
      </c>
      <c r="G295" s="50" t="str">
        <f ca="1">IFERROR(__xludf.DUMMYFUNCTION("""COMPUTED_VALUE"""),"CD52")</f>
        <v>CD52</v>
      </c>
      <c r="H295" s="50" t="str">
        <f ca="1">IFERROR(__xludf.DUMMYFUNCTION("""COMPUTED_VALUE"""),"inactivité 3ème année")</f>
        <v>inactivité 3ème année</v>
      </c>
    </row>
    <row r="296" spans="1:8" ht="12.75">
      <c r="A296" s="46">
        <f ca="1">IFERROR(__xludf.DUMMYFUNCTION("""COMPUTED_VALUE"""),284)</f>
        <v>284</v>
      </c>
      <c r="B296" s="65" t="str">
        <f ca="1">IFERROR(__xludf.DUMMYFUNCTION("""COMPUTED_VALUE"""),"8813895")</f>
        <v>8813895</v>
      </c>
      <c r="C296" s="48" t="str">
        <f ca="1">IFERROR(__xludf.DUMMYFUNCTION("""COMPUTED_VALUE"""),"JACQUOT")</f>
        <v>JACQUOT</v>
      </c>
      <c r="D296" s="48" t="str">
        <f ca="1">IFERROR(__xludf.DUMMYFUNCTION("""COMPUTED_VALUE"""),"Lyne")</f>
        <v>Lyne</v>
      </c>
      <c r="E296" s="49" t="str">
        <f ca="1">IFERROR(__xludf.DUMMYFUNCTION("""COMPUTED_VALUE"""),"06570111")</f>
        <v>06570111</v>
      </c>
      <c r="F296" s="48" t="str">
        <f ca="1">IFERROR(__xludf.DUMMYFUNCTION("""COMPUTED_VALUE"""),"SARREBOURG TT")</f>
        <v>SARREBOURG TT</v>
      </c>
      <c r="G296" s="50" t="str">
        <f ca="1">IFERROR(__xludf.DUMMYFUNCTION("""COMPUTED_VALUE"""),"CD57")</f>
        <v>CD57</v>
      </c>
      <c r="H296" s="50" t="str">
        <f ca="1">IFERROR(__xludf.DUMMYFUNCTION("""COMPUTED_VALUE"""),"inactivité 2ème année")</f>
        <v>inactivité 2ème année</v>
      </c>
    </row>
    <row r="297" spans="1:8" ht="12.75">
      <c r="A297" s="46">
        <f ca="1">IFERROR(__xludf.DUMMYFUNCTION("""COMPUTED_VALUE"""),285)</f>
        <v>285</v>
      </c>
      <c r="B297" s="65" t="str">
        <f ca="1">IFERROR(__xludf.DUMMYFUNCTION("""COMPUTED_VALUE"""),"676757")</f>
        <v>676757</v>
      </c>
      <c r="C297" s="48" t="str">
        <f ca="1">IFERROR(__xludf.DUMMYFUNCTION("""COMPUTED_VALUE"""),"JAEGER")</f>
        <v>JAEGER</v>
      </c>
      <c r="D297" s="48" t="str">
        <f ca="1">IFERROR(__xludf.DUMMYFUNCTION("""COMPUTED_VALUE"""),"Jean-Jacques")</f>
        <v>Jean-Jacques</v>
      </c>
      <c r="E297" s="49" t="str">
        <f ca="1">IFERROR(__xludf.DUMMYFUNCTION("""COMPUTED_VALUE"""),"06670279")</f>
        <v>06670279</v>
      </c>
      <c r="F297" s="48" t="str">
        <f ca="1">IFERROR(__xludf.DUMMYFUNCTION("""COMPUTED_VALUE"""),"Etoile Pongiste de SCHLEITHAL ")</f>
        <v xml:space="preserve">Etoile Pongiste de SCHLEITHAL </v>
      </c>
      <c r="G297" s="50" t="str">
        <f ca="1">IFERROR(__xludf.DUMMYFUNCTION("""COMPUTED_VALUE"""),"CD67")</f>
        <v>CD67</v>
      </c>
      <c r="H297" s="50" t="str">
        <f ca="1">IFERROR(__xludf.DUMMYFUNCTION("""COMPUTED_VALUE"""),"actif")</f>
        <v>actif</v>
      </c>
    </row>
    <row r="298" spans="1:8" ht="12.75">
      <c r="A298" s="46">
        <f ca="1">IFERROR(__xludf.DUMMYFUNCTION("""COMPUTED_VALUE"""),286)</f>
        <v>286</v>
      </c>
      <c r="B298" s="66" t="str">
        <f ca="1">IFERROR(__xludf.DUMMYFUNCTION("""COMPUTED_VALUE"""),"6724322")</f>
        <v>6724322</v>
      </c>
      <c r="C298" s="67" t="str">
        <f ca="1">IFERROR(__xludf.DUMMYFUNCTION("""COMPUTED_VALUE"""),"JAMBERT")</f>
        <v>JAMBERT</v>
      </c>
      <c r="D298" s="68" t="str">
        <f ca="1">IFERROR(__xludf.DUMMYFUNCTION("""COMPUTED_VALUE"""),"Cédric")</f>
        <v>Cédric</v>
      </c>
      <c r="E298" s="69" t="str">
        <f ca="1">IFERROR(__xludf.DUMMYFUNCTION("""COMPUTED_VALUE"""),"06670195")</f>
        <v>06670195</v>
      </c>
      <c r="F298" s="68" t="str">
        <f ca="1">IFERROR(__xludf.DUMMYFUNCTION("""COMPUTED_VALUE"""),"HANAU Tennis de Table")</f>
        <v>HANAU Tennis de Table</v>
      </c>
      <c r="G298" s="51" t="str">
        <f ca="1">IFERROR(__xludf.DUMMYFUNCTION("""COMPUTED_VALUE"""),"CD67")</f>
        <v>CD67</v>
      </c>
      <c r="H298" s="51" t="str">
        <f ca="1">IFERROR(__xludf.DUMMYFUNCTION("""COMPUTED_VALUE"""),"inactivité 1ère année")</f>
        <v>inactivité 1ère année</v>
      </c>
    </row>
    <row r="299" spans="1:8" ht="12.75">
      <c r="A299" s="46">
        <f ca="1">IFERROR(__xludf.DUMMYFUNCTION("""COMPUTED_VALUE"""),287)</f>
        <v>287</v>
      </c>
      <c r="B299" s="65" t="str">
        <f ca="1">IFERROR(__xludf.DUMMYFUNCTION("""COMPUTED_VALUE"""),"886321")</f>
        <v>886321</v>
      </c>
      <c r="C299" s="48" t="str">
        <f ca="1">IFERROR(__xludf.DUMMYFUNCTION("""COMPUTED_VALUE"""),"JAMIN")</f>
        <v>JAMIN</v>
      </c>
      <c r="D299" s="48" t="str">
        <f ca="1">IFERROR(__xludf.DUMMYFUNCTION("""COMPUTED_VALUE"""),"Thibaut")</f>
        <v>Thibaut</v>
      </c>
      <c r="E299" s="49" t="str">
        <f ca="1">IFERROR(__xludf.DUMMYFUNCTION("""COMPUTED_VALUE"""),"06670027")</f>
        <v>06670027</v>
      </c>
      <c r="F299" s="48" t="str">
        <f ca="1">IFERROR(__xludf.DUMMYFUNCTION("""COMPUTED_VALUE"""),"ROSHEIM CA")</f>
        <v>ROSHEIM CA</v>
      </c>
      <c r="G299" s="50" t="str">
        <f ca="1">IFERROR(__xludf.DUMMYFUNCTION("""COMPUTED_VALUE"""),"CD67")</f>
        <v>CD67</v>
      </c>
      <c r="H299" s="50" t="str">
        <f ca="1">IFERROR(__xludf.DUMMYFUNCTION("""COMPUTED_VALUE"""),"inactivité 2ème année")</f>
        <v>inactivité 2ème année</v>
      </c>
    </row>
    <row r="300" spans="1:8" ht="12.75">
      <c r="A300" s="46">
        <f ca="1">IFERROR(__xludf.DUMMYFUNCTION("""COMPUTED_VALUE"""),288)</f>
        <v>288</v>
      </c>
      <c r="B300" s="65" t="str">
        <f ca="1">IFERROR(__xludf.DUMMYFUNCTION("""COMPUTED_VALUE"""),"6726235")</f>
        <v>6726235</v>
      </c>
      <c r="C300" s="48" t="str">
        <f ca="1">IFERROR(__xludf.DUMMYFUNCTION("""COMPUTED_VALUE"""),"JARDINE")</f>
        <v>JARDINE</v>
      </c>
      <c r="D300" s="48" t="str">
        <f ca="1">IFERROR(__xludf.DUMMYFUNCTION("""COMPUTED_VALUE"""),"Nicolas")</f>
        <v>Nicolas</v>
      </c>
      <c r="E300" s="49" t="str">
        <f ca="1">IFERROR(__xludf.DUMMYFUNCTION("""COMPUTED_VALUE"""),"06670261")</f>
        <v>06670261</v>
      </c>
      <c r="F300" s="48" t="str">
        <f ca="1">IFERROR(__xludf.DUMMYFUNCTION("""COMPUTED_VALUE"""),"Avenir KOCHERSBERG TT")</f>
        <v>Avenir KOCHERSBERG TT</v>
      </c>
      <c r="G300" s="50" t="str">
        <f ca="1">IFERROR(__xludf.DUMMYFUNCTION("""COMPUTED_VALUE"""),"CD67")</f>
        <v>CD67</v>
      </c>
      <c r="H300" s="50" t="str">
        <f ca="1">IFERROR(__xludf.DUMMYFUNCTION("""COMPUTED_VALUE"""),"actif")</f>
        <v>actif</v>
      </c>
    </row>
    <row r="301" spans="1:8" ht="12.75">
      <c r="A301" s="46">
        <f ca="1">IFERROR(__xludf.DUMMYFUNCTION("""COMPUTED_VALUE"""),289)</f>
        <v>289</v>
      </c>
      <c r="B301" s="65" t="str">
        <f ca="1">IFERROR(__xludf.DUMMYFUNCTION("""COMPUTED_VALUE"""),"5113554")</f>
        <v>5113554</v>
      </c>
      <c r="C301" s="48" t="str">
        <f ca="1">IFERROR(__xludf.DUMMYFUNCTION("""COMPUTED_VALUE"""),"JEANNIOT")</f>
        <v>JEANNIOT</v>
      </c>
      <c r="D301" s="48" t="str">
        <f ca="1">IFERROR(__xludf.DUMMYFUNCTION("""COMPUTED_VALUE"""),"Fabrice")</f>
        <v>Fabrice</v>
      </c>
      <c r="E301" s="49" t="str">
        <f ca="1">IFERROR(__xludf.DUMMYFUNCTION("""COMPUTED_VALUE"""),"06510020")</f>
        <v>06510020</v>
      </c>
      <c r="F301" s="48" t="str">
        <f ca="1">IFERROR(__xludf.DUMMYFUNCTION("""COMPUTED_VALUE"""),"EPERNAY-PLIVOT PPC")</f>
        <v>EPERNAY-PLIVOT PPC</v>
      </c>
      <c r="G301" s="50" t="str">
        <f ca="1">IFERROR(__xludf.DUMMYFUNCTION("""COMPUTED_VALUE"""),"CD51")</f>
        <v>CD51</v>
      </c>
      <c r="H301" s="50" t="str">
        <f ca="1">IFERROR(__xludf.DUMMYFUNCTION("""COMPUTED_VALUE"""),"inactivité 2ème année")</f>
        <v>inactivité 2ème année</v>
      </c>
    </row>
    <row r="302" spans="1:8" ht="12.75">
      <c r="A302" s="46">
        <f ca="1">IFERROR(__xludf.DUMMYFUNCTION("""COMPUTED_VALUE"""),290)</f>
        <v>290</v>
      </c>
      <c r="B302" s="65" t="str">
        <f ca="1">IFERROR(__xludf.DUMMYFUNCTION("""COMPUTED_VALUE"""),"5419710")</f>
        <v>5419710</v>
      </c>
      <c r="C302" s="48" t="str">
        <f ca="1">IFERROR(__xludf.DUMMYFUNCTION("""COMPUTED_VALUE"""),"JOB")</f>
        <v>JOB</v>
      </c>
      <c r="D302" s="48" t="str">
        <f ca="1">IFERROR(__xludf.DUMMYFUNCTION("""COMPUTED_VALUE"""),"Mickael")</f>
        <v>Mickael</v>
      </c>
      <c r="E302" s="49" t="str">
        <f ca="1">IFERROR(__xludf.DUMMYFUNCTION("""COMPUTED_VALUE"""),"06540193")</f>
        <v>06540193</v>
      </c>
      <c r="F302" s="48" t="str">
        <f ca="1">IFERROR(__xludf.DUMMYFUNCTION("""COMPUTED_VALUE"""),"BACCARAT ABTT")</f>
        <v>BACCARAT ABTT</v>
      </c>
      <c r="G302" s="50" t="str">
        <f ca="1">IFERROR(__xludf.DUMMYFUNCTION("""COMPUTED_VALUE"""),"CD54")</f>
        <v>CD54</v>
      </c>
      <c r="H302" s="50" t="str">
        <f ca="1">IFERROR(__xludf.DUMMYFUNCTION("""COMPUTED_VALUE"""),"inactivité 3ème année")</f>
        <v>inactivité 3ème année</v>
      </c>
    </row>
    <row r="303" spans="1:8" ht="12.75">
      <c r="A303" s="46">
        <f ca="1">IFERROR(__xludf.DUMMYFUNCTION("""COMPUTED_VALUE"""),291)</f>
        <v>291</v>
      </c>
      <c r="B303" s="65" t="str">
        <f ca="1">IFERROR(__xludf.DUMMYFUNCTION("""COMPUTED_VALUE"""),"5114690")</f>
        <v>5114690</v>
      </c>
      <c r="C303" s="48" t="str">
        <f ca="1">IFERROR(__xludf.DUMMYFUNCTION("""COMPUTED_VALUE"""),"JOFFIN")</f>
        <v>JOFFIN</v>
      </c>
      <c r="D303" s="48" t="str">
        <f ca="1">IFERROR(__xludf.DUMMYFUNCTION("""COMPUTED_VALUE"""),"Matteo")</f>
        <v>Matteo</v>
      </c>
      <c r="E303" s="49" t="str">
        <f ca="1">IFERROR(__xludf.DUMMYFUNCTION("""COMPUTED_VALUE"""),"06510001")</f>
        <v>06510001</v>
      </c>
      <c r="F303" s="48" t="str">
        <f ca="1">IFERROR(__xludf.DUMMYFUNCTION("""COMPUTED_VALUE"""),"REIMS OLYMPIQUE TT")</f>
        <v>REIMS OLYMPIQUE TT</v>
      </c>
      <c r="G303" s="50" t="str">
        <f ca="1">IFERROR(__xludf.DUMMYFUNCTION("""COMPUTED_VALUE"""),"CD51")</f>
        <v>CD51</v>
      </c>
      <c r="H303" s="50" t="str">
        <f ca="1">IFERROR(__xludf.DUMMYFUNCTION("""COMPUTED_VALUE"""),"inactivité 1ère année")</f>
        <v>inactivité 1ère année</v>
      </c>
    </row>
    <row r="304" spans="1:8" ht="12.75">
      <c r="A304" s="46">
        <f ca="1">IFERROR(__xludf.DUMMYFUNCTION("""COMPUTED_VALUE"""),292)</f>
        <v>292</v>
      </c>
      <c r="B304" s="65" t="str">
        <f ca="1">IFERROR(__xludf.DUMMYFUNCTION("""COMPUTED_VALUE"""),"0811756")</f>
        <v>0811756</v>
      </c>
      <c r="C304" s="48" t="str">
        <f ca="1">IFERROR(__xludf.DUMMYFUNCTION("""COMPUTED_VALUE"""),"JOLY")</f>
        <v>JOLY</v>
      </c>
      <c r="D304" s="48" t="str">
        <f ca="1">IFERROR(__xludf.DUMMYFUNCTION("""COMPUTED_VALUE"""),"Loris")</f>
        <v>Loris</v>
      </c>
      <c r="E304" s="49" t="str">
        <f ca="1">IFERROR(__xludf.DUMMYFUNCTION("""COMPUTED_VALUE"""),"06080013")</f>
        <v>06080013</v>
      </c>
      <c r="F304" s="48" t="str">
        <f ca="1">IFERROR(__xludf.DUMMYFUNCTION("""COMPUTED_VALUE"""),"TAGNON PPC")</f>
        <v>TAGNON PPC</v>
      </c>
      <c r="G304" s="50" t="str">
        <f ca="1">IFERROR(__xludf.DUMMYFUNCTION("""COMPUTED_VALUE"""),"CD08")</f>
        <v>CD08</v>
      </c>
      <c r="H304" s="50" t="str">
        <f ca="1">IFERROR(__xludf.DUMMYFUNCTION("""COMPUTED_VALUE"""),"actif")</f>
        <v>actif</v>
      </c>
    </row>
    <row r="305" spans="1:8" ht="12.75">
      <c r="A305" s="46">
        <f ca="1">IFERROR(__xludf.DUMMYFUNCTION("""COMPUTED_VALUE"""),293)</f>
        <v>293</v>
      </c>
      <c r="B305" s="65" t="str">
        <f ca="1">IFERROR(__xludf.DUMMYFUNCTION("""COMPUTED_VALUE"""),"5417902")</f>
        <v>5417902</v>
      </c>
      <c r="C305" s="48" t="str">
        <f ca="1">IFERROR(__xludf.DUMMYFUNCTION("""COMPUTED_VALUE"""),"JOLY")</f>
        <v>JOLY</v>
      </c>
      <c r="D305" s="48" t="str">
        <f ca="1">IFERROR(__xludf.DUMMYFUNCTION("""COMPUTED_VALUE"""),"Cedric")</f>
        <v>Cedric</v>
      </c>
      <c r="E305" s="49" t="str">
        <f ca="1">IFERROR(__xludf.DUMMYFUNCTION("""COMPUTED_VALUE"""),"06550058")</f>
        <v>06550058</v>
      </c>
      <c r="F305" s="48" t="str">
        <f ca="1">IFERROR(__xludf.DUMMYFUNCTION("""COMPUTED_VALUE"""),"Les Loups de DAMVILLERS ASTT ")</f>
        <v xml:space="preserve">Les Loups de DAMVILLERS ASTT </v>
      </c>
      <c r="G305" s="50" t="str">
        <f ca="1">IFERROR(__xludf.DUMMYFUNCTION("""COMPUTED_VALUE"""),"CD55")</f>
        <v>CD55</v>
      </c>
      <c r="H305" s="50" t="str">
        <f ca="1">IFERROR(__xludf.DUMMYFUNCTION("""COMPUTED_VALUE"""),"actif")</f>
        <v>actif</v>
      </c>
    </row>
    <row r="306" spans="1:8" ht="12.75">
      <c r="A306" s="46">
        <f ca="1">IFERROR(__xludf.DUMMYFUNCTION("""COMPUTED_VALUE"""),294)</f>
        <v>294</v>
      </c>
      <c r="B306" s="65" t="str">
        <f ca="1">IFERROR(__xludf.DUMMYFUNCTION("""COMPUTED_VALUE"""),"5433401")</f>
        <v>5433401</v>
      </c>
      <c r="C306" s="48" t="str">
        <f ca="1">IFERROR(__xludf.DUMMYFUNCTION("""COMPUTED_VALUE"""),"JOLY")</f>
        <v>JOLY</v>
      </c>
      <c r="D306" s="48" t="str">
        <f ca="1">IFERROR(__xludf.DUMMYFUNCTION("""COMPUTED_VALUE"""),"Enzo")</f>
        <v>Enzo</v>
      </c>
      <c r="E306" s="49" t="str">
        <f ca="1">IFERROR(__xludf.DUMMYFUNCTION("""COMPUTED_VALUE"""),"06550058")</f>
        <v>06550058</v>
      </c>
      <c r="F306" s="48" t="str">
        <f ca="1">IFERROR(__xludf.DUMMYFUNCTION("""COMPUTED_VALUE"""),"Les Loups de DAMVILLERS ASTT ")</f>
        <v xml:space="preserve">Les Loups de DAMVILLERS ASTT </v>
      </c>
      <c r="G306" s="50" t="str">
        <f ca="1">IFERROR(__xludf.DUMMYFUNCTION("""COMPUTED_VALUE"""),"CD55")</f>
        <v>CD55</v>
      </c>
      <c r="H306" s="50" t="str">
        <f ca="1">IFERROR(__xludf.DUMMYFUNCTION("""COMPUTED_VALUE"""),"actif")</f>
        <v>actif</v>
      </c>
    </row>
    <row r="307" spans="1:8" ht="12.75">
      <c r="A307" s="46">
        <f ca="1">IFERROR(__xludf.DUMMYFUNCTION("""COMPUTED_VALUE"""),295)</f>
        <v>295</v>
      </c>
      <c r="B307" s="65" t="str">
        <f ca="1">IFERROR(__xludf.DUMMYFUNCTION("""COMPUTED_VALUE"""),"104334")</f>
        <v>104334</v>
      </c>
      <c r="C307" s="48" t="str">
        <f ca="1">IFERROR(__xludf.DUMMYFUNCTION("""COMPUTED_VALUE"""),"JUIN")</f>
        <v>JUIN</v>
      </c>
      <c r="D307" s="48" t="str">
        <f ca="1">IFERROR(__xludf.DUMMYFUNCTION("""COMPUTED_VALUE"""),"Claire")</f>
        <v>Claire</v>
      </c>
      <c r="E307" s="49" t="str">
        <f ca="1">IFERROR(__xludf.DUMMYFUNCTION("""COMPUTED_VALUE"""),"06100007")</f>
        <v>06100007</v>
      </c>
      <c r="F307" s="48" t="str">
        <f ca="1">IFERROR(__xludf.DUMMYFUNCTION("""COMPUTED_VALUE"""),"ST PARRES AUX TERTRES AST")</f>
        <v>ST PARRES AUX TERTRES AST</v>
      </c>
      <c r="G307" s="50" t="str">
        <f ca="1">IFERROR(__xludf.DUMMYFUNCTION("""COMPUTED_VALUE"""),"CD10")</f>
        <v>CD10</v>
      </c>
      <c r="H307" s="50" t="str">
        <f ca="1">IFERROR(__xludf.DUMMYFUNCTION("""COMPUTED_VALUE"""),"inactivité 1ère année")</f>
        <v>inactivité 1ère année</v>
      </c>
    </row>
    <row r="308" spans="1:8" ht="12.75">
      <c r="A308" s="46">
        <f ca="1">IFERROR(__xludf.DUMMYFUNCTION("""COMPUTED_VALUE"""),296)</f>
        <v>296</v>
      </c>
      <c r="B308" s="65" t="str">
        <f ca="1">IFERROR(__xludf.DUMMYFUNCTION("""COMPUTED_VALUE"""),"107705")</f>
        <v>107705</v>
      </c>
      <c r="C308" s="48" t="str">
        <f ca="1">IFERROR(__xludf.DUMMYFUNCTION("""COMPUTED_VALUE"""),"JULLY")</f>
        <v>JULLY</v>
      </c>
      <c r="D308" s="48" t="str">
        <f ca="1">IFERROR(__xludf.DUMMYFUNCTION("""COMPUTED_VALUE"""),"Alexas")</f>
        <v>Alexas</v>
      </c>
      <c r="E308" s="49" t="str">
        <f ca="1">IFERROR(__xludf.DUMMYFUNCTION("""COMPUTED_VALUE"""),"06100002")</f>
        <v>06100002</v>
      </c>
      <c r="F308" s="48" t="str">
        <f ca="1">IFERROR(__xludf.DUMMYFUNCTION("""COMPUTED_VALUE"""),"TROYES O.S - NOËS TT")</f>
        <v>TROYES O.S - NOËS TT</v>
      </c>
      <c r="G308" s="50" t="str">
        <f ca="1">IFERROR(__xludf.DUMMYFUNCTION("""COMPUTED_VALUE"""),"CD10")</f>
        <v>CD10</v>
      </c>
      <c r="H308" s="50" t="str">
        <f ca="1">IFERROR(__xludf.DUMMYFUNCTION("""COMPUTED_VALUE"""),"inactivité 1ère année")</f>
        <v>inactivité 1ère année</v>
      </c>
    </row>
    <row r="309" spans="1:8" ht="12.75">
      <c r="A309" s="46">
        <f ca="1">IFERROR(__xludf.DUMMYFUNCTION("""COMPUTED_VALUE"""),297)</f>
        <v>297</v>
      </c>
      <c r="B309" s="65" t="str">
        <f ca="1">IFERROR(__xludf.DUMMYFUNCTION("""COMPUTED_VALUE"""),"2811592")</f>
        <v>2811592</v>
      </c>
      <c r="C309" s="48" t="str">
        <f ca="1">IFERROR(__xludf.DUMMYFUNCTION("""COMPUTED_VALUE"""),"JUSKEWYCZ")</f>
        <v>JUSKEWYCZ</v>
      </c>
      <c r="D309" s="48" t="str">
        <f ca="1">IFERROR(__xludf.DUMMYFUNCTION("""COMPUTED_VALUE"""),"Pierre")</f>
        <v>Pierre</v>
      </c>
      <c r="E309" s="49" t="str">
        <f ca="1">IFERROR(__xludf.DUMMYFUNCTION("""COMPUTED_VALUE"""),"06100002")</f>
        <v>06100002</v>
      </c>
      <c r="F309" s="48" t="str">
        <f ca="1">IFERROR(__xludf.DUMMYFUNCTION("""COMPUTED_VALUE"""),"TROYES O.S - NOËS TT")</f>
        <v>TROYES O.S - NOËS TT</v>
      </c>
      <c r="G309" s="50" t="str">
        <f ca="1">IFERROR(__xludf.DUMMYFUNCTION("""COMPUTED_VALUE"""),"CD10")</f>
        <v>CD10</v>
      </c>
      <c r="H309" s="50" t="str">
        <f ca="1">IFERROR(__xludf.DUMMYFUNCTION("""COMPUTED_VALUE"""),"inactivité 1ère année")</f>
        <v>inactivité 1ère année</v>
      </c>
    </row>
    <row r="310" spans="1:8" ht="12.75">
      <c r="A310" s="46">
        <f ca="1">IFERROR(__xludf.DUMMYFUNCTION("""COMPUTED_VALUE"""),298)</f>
        <v>298</v>
      </c>
      <c r="B310" s="65" t="str">
        <f ca="1">IFERROR(__xludf.DUMMYFUNCTION("""COMPUTED_VALUE"""),"3826074")</f>
        <v>3826074</v>
      </c>
      <c r="C310" s="48" t="str">
        <f ca="1">IFERROR(__xludf.DUMMYFUNCTION("""COMPUTED_VALUE"""),"KAZANTSEV")</f>
        <v>KAZANTSEV</v>
      </c>
      <c r="D310" s="48" t="str">
        <f ca="1">IFERROR(__xludf.DUMMYFUNCTION("""COMPUTED_VALUE"""),"Nicolas")</f>
        <v>Nicolas</v>
      </c>
      <c r="E310" s="49" t="str">
        <f ca="1">IFERROR(__xludf.DUMMYFUNCTION("""COMPUTED_VALUE"""),"06540040")</f>
        <v>06540040</v>
      </c>
      <c r="F310" s="48" t="str">
        <f ca="1">IFERROR(__xludf.DUMMYFUNCTION("""COMPUTED_VALUE"""),"VILLERS LES NANCY C.O.S.")</f>
        <v>VILLERS LES NANCY C.O.S.</v>
      </c>
      <c r="G310" s="50" t="str">
        <f ca="1">IFERROR(__xludf.DUMMYFUNCTION("""COMPUTED_VALUE"""),"CD54")</f>
        <v>CD54</v>
      </c>
      <c r="H310" s="50" t="str">
        <f ca="1">IFERROR(__xludf.DUMMYFUNCTION("""COMPUTED_VALUE"""),"inactivité 3ème année")</f>
        <v>inactivité 3ème année</v>
      </c>
    </row>
    <row r="311" spans="1:8" ht="12.75">
      <c r="A311" s="46">
        <f ca="1">IFERROR(__xludf.DUMMYFUNCTION("""COMPUTED_VALUE"""),299)</f>
        <v>299</v>
      </c>
      <c r="B311" s="65" t="str">
        <f ca="1">IFERROR(__xludf.DUMMYFUNCTION("""COMPUTED_VALUE"""),"671914")</f>
        <v>671914</v>
      </c>
      <c r="C311" s="48" t="str">
        <f ca="1">IFERROR(__xludf.DUMMYFUNCTION("""COMPUTED_VALUE"""),"KEITH")</f>
        <v>KEITH</v>
      </c>
      <c r="D311" s="48" t="str">
        <f ca="1">IFERROR(__xludf.DUMMYFUNCTION("""COMPUTED_VALUE"""),"Bernard")</f>
        <v>Bernard</v>
      </c>
      <c r="E311" s="49" t="str">
        <f ca="1">IFERROR(__xludf.DUMMYFUNCTION("""COMPUTED_VALUE"""),"06670122")</f>
        <v>06670122</v>
      </c>
      <c r="F311" s="48" t="str">
        <f ca="1">IFERROR(__xludf.DUMMYFUNCTION("""COMPUTED_VALUE"""),"OBERNAI CA")</f>
        <v>OBERNAI CA</v>
      </c>
      <c r="G311" s="50" t="str">
        <f ca="1">IFERROR(__xludf.DUMMYFUNCTION("""COMPUTED_VALUE"""),"CD67")</f>
        <v>CD67</v>
      </c>
      <c r="H311" s="50" t="str">
        <f ca="1">IFERROR(__xludf.DUMMYFUNCTION("""COMPUTED_VALUE"""),"actif")</f>
        <v>actif</v>
      </c>
    </row>
    <row r="312" spans="1:8" ht="12.75">
      <c r="A312" s="46">
        <f ca="1">IFERROR(__xludf.DUMMYFUNCTION("""COMPUTED_VALUE"""),300)</f>
        <v>300</v>
      </c>
      <c r="B312" s="70" t="str">
        <f ca="1">IFERROR(__xludf.DUMMYFUNCTION("""COMPUTED_VALUE"""),"5717216")</f>
        <v>5717216</v>
      </c>
      <c r="C312" s="71" t="str">
        <f ca="1">IFERROR(__xludf.DUMMYFUNCTION("""COMPUTED_VALUE"""),"KELLER")</f>
        <v>KELLER</v>
      </c>
      <c r="D312" s="72" t="str">
        <f ca="1">IFERROR(__xludf.DUMMYFUNCTION("""COMPUTED_VALUE"""),"Hubert")</f>
        <v>Hubert</v>
      </c>
      <c r="E312" s="73" t="str">
        <f ca="1">IFERROR(__xludf.DUMMYFUNCTION("""COMPUTED_VALUE"""),"06570019")</f>
        <v>06570019</v>
      </c>
      <c r="F312" s="72" t="str">
        <f ca="1">IFERROR(__xludf.DUMMYFUNCTION("""COMPUTED_VALUE"""),"SAINT AVOLD C.T.T.")</f>
        <v>SAINT AVOLD C.T.T.</v>
      </c>
      <c r="G312" s="52" t="str">
        <f ca="1">IFERROR(__xludf.DUMMYFUNCTION("""COMPUTED_VALUE"""),"CD57")</f>
        <v>CD57</v>
      </c>
      <c r="H312" s="52" t="str">
        <f ca="1">IFERROR(__xludf.DUMMYFUNCTION("""COMPUTED_VALUE"""),"inactivité 3ème année")</f>
        <v>inactivité 3ème année</v>
      </c>
    </row>
    <row r="313" spans="1:8" ht="12.75">
      <c r="A313" s="46">
        <f ca="1">IFERROR(__xludf.DUMMYFUNCTION("""COMPUTED_VALUE"""),301)</f>
        <v>301</v>
      </c>
      <c r="B313" s="70" t="str">
        <f ca="1">IFERROR(__xludf.DUMMYFUNCTION("""COMPUTED_VALUE"""),"5732481")</f>
        <v>5732481</v>
      </c>
      <c r="C313" s="71" t="str">
        <f ca="1">IFERROR(__xludf.DUMMYFUNCTION("""COMPUTED_VALUE"""),"KESLER")</f>
        <v>KESLER</v>
      </c>
      <c r="D313" s="72" t="str">
        <f ca="1">IFERROR(__xludf.DUMMYFUNCTION("""COMPUTED_VALUE"""),"Didier")</f>
        <v>Didier</v>
      </c>
      <c r="E313" s="73" t="str">
        <f ca="1">IFERROR(__xludf.DUMMYFUNCTION("""COMPUTED_VALUE"""),"06570201")</f>
        <v>06570201</v>
      </c>
      <c r="F313" s="72" t="str">
        <f ca="1">IFERROR(__xludf.DUMMYFUNCTION("""COMPUTED_VALUE"""),"SAINT JULIEN LES METZ TT")</f>
        <v>SAINT JULIEN LES METZ TT</v>
      </c>
      <c r="G313" s="52" t="str">
        <f ca="1">IFERROR(__xludf.DUMMYFUNCTION("""COMPUTED_VALUE"""),"CD57")</f>
        <v>CD57</v>
      </c>
      <c r="H313" s="52" t="str">
        <f ca="1">IFERROR(__xludf.DUMMYFUNCTION("""COMPUTED_VALUE"""),"inactivité 3ème année")</f>
        <v>inactivité 3ème année</v>
      </c>
    </row>
    <row r="314" spans="1:8" ht="12.75">
      <c r="A314" s="46">
        <f ca="1">IFERROR(__xludf.DUMMYFUNCTION("""COMPUTED_VALUE"""),302)</f>
        <v>302</v>
      </c>
      <c r="B314" s="70" t="str">
        <f ca="1">IFERROR(__xludf.DUMMYFUNCTION("""COMPUTED_VALUE"""),"5432272")</f>
        <v>5432272</v>
      </c>
      <c r="C314" s="71" t="str">
        <f ca="1">IFERROR(__xludf.DUMMYFUNCTION("""COMPUTED_VALUE"""),"KLEIN")</f>
        <v>KLEIN</v>
      </c>
      <c r="D314" s="72" t="str">
        <f ca="1">IFERROR(__xludf.DUMMYFUNCTION("""COMPUTED_VALUE"""),"Adam")</f>
        <v>Adam</v>
      </c>
      <c r="E314" s="73" t="str">
        <f ca="1">IFERROR(__xludf.DUMMYFUNCTION("""COMPUTED_VALUE"""),"06540187")</f>
        <v>06540187</v>
      </c>
      <c r="F314" s="72" t="str">
        <f ca="1">IFERROR(__xludf.DUMMYFUNCTION("""COMPUTED_VALUE"""),"CHAMPIGNEULLES Tennis de Table")</f>
        <v>CHAMPIGNEULLES Tennis de Table</v>
      </c>
      <c r="G314" s="52" t="str">
        <f ca="1">IFERROR(__xludf.DUMMYFUNCTION("""COMPUTED_VALUE"""),"CD54")</f>
        <v>CD54</v>
      </c>
      <c r="H314" s="52" t="str">
        <f ca="1">IFERROR(__xludf.DUMMYFUNCTION("""COMPUTED_VALUE"""),"inactivité 2ème année")</f>
        <v>inactivité 2ème année</v>
      </c>
    </row>
    <row r="315" spans="1:8" ht="12.75">
      <c r="A315" s="46">
        <f ca="1">IFERROR(__xludf.DUMMYFUNCTION("""COMPUTED_VALUE"""),303)</f>
        <v>303</v>
      </c>
      <c r="B315" s="65" t="str">
        <f ca="1">IFERROR(__xludf.DUMMYFUNCTION("""COMPUTED_VALUE"""),"678023")</f>
        <v>678023</v>
      </c>
      <c r="C315" s="48" t="str">
        <f ca="1">IFERROR(__xludf.DUMMYFUNCTION("""COMPUTED_VALUE"""),"KLOPFENSTEIN")</f>
        <v>KLOPFENSTEIN</v>
      </c>
      <c r="D315" s="48" t="str">
        <f ca="1">IFERROR(__xludf.DUMMYFUNCTION("""COMPUTED_VALUE"""),"Thomas")</f>
        <v>Thomas</v>
      </c>
      <c r="E315" s="49" t="str">
        <f ca="1">IFERROR(__xludf.DUMMYFUNCTION("""COMPUTED_VALUE"""),"06670195")</f>
        <v>06670195</v>
      </c>
      <c r="F315" s="48" t="str">
        <f ca="1">IFERROR(__xludf.DUMMYFUNCTION("""COMPUTED_VALUE"""),"HANAU Tennis de Table")</f>
        <v>HANAU Tennis de Table</v>
      </c>
      <c r="G315" s="50" t="str">
        <f ca="1">IFERROR(__xludf.DUMMYFUNCTION("""COMPUTED_VALUE"""),"CD67")</f>
        <v>CD67</v>
      </c>
      <c r="H315" s="50" t="str">
        <f ca="1">IFERROR(__xludf.DUMMYFUNCTION("""COMPUTED_VALUE"""),"inactivité 1ère année")</f>
        <v>inactivité 1ère année</v>
      </c>
    </row>
    <row r="316" spans="1:8" ht="12.75">
      <c r="A316" s="46">
        <f ca="1">IFERROR(__xludf.DUMMYFUNCTION("""COMPUTED_VALUE"""),304)</f>
        <v>304</v>
      </c>
      <c r="B316" s="65" t="str">
        <f ca="1">IFERROR(__xludf.DUMMYFUNCTION("""COMPUTED_VALUE"""),"6718936")</f>
        <v>6718936</v>
      </c>
      <c r="C316" s="48" t="str">
        <f ca="1">IFERROR(__xludf.DUMMYFUNCTION("""COMPUTED_VALUE"""),"KLOPFENSTEIN")</f>
        <v>KLOPFENSTEIN</v>
      </c>
      <c r="D316" s="48" t="str">
        <f ca="1">IFERROR(__xludf.DUMMYFUNCTION("""COMPUTED_VALUE"""),"Marc")</f>
        <v>Marc</v>
      </c>
      <c r="E316" s="49" t="str">
        <f ca="1">IFERROR(__xludf.DUMMYFUNCTION("""COMPUTED_VALUE"""),"06670195")</f>
        <v>06670195</v>
      </c>
      <c r="F316" s="48" t="str">
        <f ca="1">IFERROR(__xludf.DUMMYFUNCTION("""COMPUTED_VALUE"""),"HANAU Tennis de Table")</f>
        <v>HANAU Tennis de Table</v>
      </c>
      <c r="G316" s="50" t="str">
        <f ca="1">IFERROR(__xludf.DUMMYFUNCTION("""COMPUTED_VALUE"""),"CD67")</f>
        <v>CD67</v>
      </c>
      <c r="H316" s="50" t="str">
        <f ca="1">IFERROR(__xludf.DUMMYFUNCTION("""COMPUTED_VALUE"""),"inactivité 3ème année")</f>
        <v>inactivité 3ème année</v>
      </c>
    </row>
    <row r="317" spans="1:8" ht="12.75">
      <c r="A317" s="46">
        <f ca="1">IFERROR(__xludf.DUMMYFUNCTION("""COMPUTED_VALUE"""),305)</f>
        <v>305</v>
      </c>
      <c r="B317" s="65" t="str">
        <f ca="1">IFERROR(__xludf.DUMMYFUNCTION("""COMPUTED_VALUE"""),"6717365")</f>
        <v>6717365</v>
      </c>
      <c r="C317" s="48" t="str">
        <f ca="1">IFERROR(__xludf.DUMMYFUNCTION("""COMPUTED_VALUE"""),"KLOTZ")</f>
        <v>KLOTZ</v>
      </c>
      <c r="D317" s="48" t="str">
        <f ca="1">IFERROR(__xludf.DUMMYFUNCTION("""COMPUTED_VALUE"""),"Cedric")</f>
        <v>Cedric</v>
      </c>
      <c r="E317" s="49" t="str">
        <f ca="1">IFERROR(__xludf.DUMMYFUNCTION("""COMPUTED_VALUE"""),"06670203")</f>
        <v>06670203</v>
      </c>
      <c r="F317" s="48" t="str">
        <f ca="1">IFERROR(__xludf.DUMMYFUNCTION("""COMPUTED_VALUE"""),"BETSCHDORF TT")</f>
        <v>BETSCHDORF TT</v>
      </c>
      <c r="G317" s="50" t="str">
        <f ca="1">IFERROR(__xludf.DUMMYFUNCTION("""COMPUTED_VALUE"""),"CD67")</f>
        <v>CD67</v>
      </c>
      <c r="H317" s="50" t="str">
        <f ca="1">IFERROR(__xludf.DUMMYFUNCTION("""COMPUTED_VALUE"""),"inactivité 1ère année")</f>
        <v>inactivité 1ère année</v>
      </c>
    </row>
    <row r="318" spans="1:8" ht="12.75">
      <c r="A318" s="46">
        <f ca="1">IFERROR(__xludf.DUMMYFUNCTION("""COMPUTED_VALUE"""),306)</f>
        <v>306</v>
      </c>
      <c r="B318" s="65" t="str">
        <f ca="1">IFERROR(__xludf.DUMMYFUNCTION("""COMPUTED_VALUE"""),"6715929")</f>
        <v>6715929</v>
      </c>
      <c r="C318" s="48" t="str">
        <f ca="1">IFERROR(__xludf.DUMMYFUNCTION("""COMPUTED_VALUE"""),"KNITTEL")</f>
        <v>KNITTEL</v>
      </c>
      <c r="D318" s="48" t="str">
        <f ca="1">IFERROR(__xludf.DUMMYFUNCTION("""COMPUTED_VALUE"""),"Florian")</f>
        <v>Florian</v>
      </c>
      <c r="E318" s="49" t="str">
        <f ca="1">IFERROR(__xludf.DUMMYFUNCTION("""COMPUTED_VALUE"""),"06670270")</f>
        <v>06670270</v>
      </c>
      <c r="F318" s="48" t="str">
        <f ca="1">IFERROR(__xludf.DUMMYFUNCTION("""COMPUTED_VALUE"""),"STRASBOURG EUROMETROPOLE TT")</f>
        <v>STRASBOURG EUROMETROPOLE TT</v>
      </c>
      <c r="G318" s="50" t="str">
        <f ca="1">IFERROR(__xludf.DUMMYFUNCTION("""COMPUTED_VALUE"""),"CD67")</f>
        <v>CD67</v>
      </c>
      <c r="H318" s="50" t="str">
        <f ca="1">IFERROR(__xludf.DUMMYFUNCTION("""COMPUTED_VALUE"""),"inactivité 2ème année")</f>
        <v>inactivité 2ème année</v>
      </c>
    </row>
    <row r="319" spans="1:8" ht="12.75">
      <c r="A319" s="46">
        <f ca="1">IFERROR(__xludf.DUMMYFUNCTION("""COMPUTED_VALUE"""),307)</f>
        <v>307</v>
      </c>
      <c r="B319" s="65" t="str">
        <f ca="1">IFERROR(__xludf.DUMMYFUNCTION("""COMPUTED_VALUE"""),"5424729")</f>
        <v>5424729</v>
      </c>
      <c r="C319" s="48" t="str">
        <f ca="1">IFERROR(__xludf.DUMMYFUNCTION("""COMPUTED_VALUE"""),"KOCH")</f>
        <v>KOCH</v>
      </c>
      <c r="D319" s="48" t="str">
        <f ca="1">IFERROR(__xludf.DUMMYFUNCTION("""COMPUTED_VALUE"""),"Alan")</f>
        <v>Alan</v>
      </c>
      <c r="E319" s="49" t="str">
        <f ca="1">IFERROR(__xludf.DUMMYFUNCTION("""COMPUTED_VALUE"""),"06540008")</f>
        <v>06540008</v>
      </c>
      <c r="F319" s="48" t="str">
        <f ca="1">IFERROR(__xludf.DUMMYFUNCTION("""COMPUTED_VALUE"""),"ESSEY-SEICHAMPS T.T.")</f>
        <v>ESSEY-SEICHAMPS T.T.</v>
      </c>
      <c r="G319" s="50" t="str">
        <f ca="1">IFERROR(__xludf.DUMMYFUNCTION("""COMPUTED_VALUE"""),"CD54")</f>
        <v>CD54</v>
      </c>
      <c r="H319" s="50" t="str">
        <f ca="1">IFERROR(__xludf.DUMMYFUNCTION("""COMPUTED_VALUE"""),"inactivité 1ère année")</f>
        <v>inactivité 1ère année</v>
      </c>
    </row>
    <row r="320" spans="1:8" ht="12.75">
      <c r="A320" s="46">
        <f ca="1">IFERROR(__xludf.DUMMYFUNCTION("""COMPUTED_VALUE"""),308)</f>
        <v>308</v>
      </c>
      <c r="B320" s="65" t="str">
        <f ca="1">IFERROR(__xludf.DUMMYFUNCTION("""COMPUTED_VALUE"""),"52210")</f>
        <v>52210</v>
      </c>
      <c r="C320" s="48" t="str">
        <f ca="1">IFERROR(__xludf.DUMMYFUNCTION("""COMPUTED_VALUE"""),"KOLB")</f>
        <v>KOLB</v>
      </c>
      <c r="D320" s="48" t="str">
        <f ca="1">IFERROR(__xludf.DUMMYFUNCTION("""COMPUTED_VALUE"""),"Jean Pierre")</f>
        <v>Jean Pierre</v>
      </c>
      <c r="E320" s="49" t="str">
        <f ca="1">IFERROR(__xludf.DUMMYFUNCTION("""COMPUTED_VALUE"""),"06520022")</f>
        <v>06520022</v>
      </c>
      <c r="F320" s="48" t="str">
        <f ca="1">IFERROR(__xludf.DUMMYFUNCTION("""COMPUTED_VALUE"""),"CHAUMONT ECAC")</f>
        <v>CHAUMONT ECAC</v>
      </c>
      <c r="G320" s="50" t="str">
        <f ca="1">IFERROR(__xludf.DUMMYFUNCTION("""COMPUTED_VALUE"""),"CD52")</f>
        <v>CD52</v>
      </c>
      <c r="H320" s="50" t="str">
        <f ca="1">IFERROR(__xludf.DUMMYFUNCTION("""COMPUTED_VALUE"""),"actif")</f>
        <v>actif</v>
      </c>
    </row>
    <row r="321" spans="1:8" ht="12.75">
      <c r="A321" s="46">
        <f ca="1">IFERROR(__xludf.DUMMYFUNCTION("""COMPUTED_VALUE"""),309)</f>
        <v>309</v>
      </c>
      <c r="B321" s="65" t="str">
        <f ca="1">IFERROR(__xludf.DUMMYFUNCTION("""COMPUTED_VALUE"""),"521259")</f>
        <v>521259</v>
      </c>
      <c r="C321" s="48" t="str">
        <f ca="1">IFERROR(__xludf.DUMMYFUNCTION("""COMPUTED_VALUE"""),"KOLINSKY")</f>
        <v>KOLINSKY</v>
      </c>
      <c r="D321" s="67" t="str">
        <f ca="1">IFERROR(__xludf.DUMMYFUNCTION("""COMPUTED_VALUE"""),"Yves")</f>
        <v>Yves</v>
      </c>
      <c r="E321" s="69" t="str">
        <f ca="1">IFERROR(__xludf.DUMMYFUNCTION("""COMPUTED_VALUE"""),"06520022")</f>
        <v>06520022</v>
      </c>
      <c r="F321" s="68" t="str">
        <f ca="1">IFERROR(__xludf.DUMMYFUNCTION("""COMPUTED_VALUE"""),"CHAUMONT ECAC")</f>
        <v>CHAUMONT ECAC</v>
      </c>
      <c r="G321" s="51" t="str">
        <f ca="1">IFERROR(__xludf.DUMMYFUNCTION("""COMPUTED_VALUE"""),"CD52")</f>
        <v>CD52</v>
      </c>
      <c r="H321" s="51" t="str">
        <f ca="1">IFERROR(__xludf.DUMMYFUNCTION("""COMPUTED_VALUE"""),"actif")</f>
        <v>actif</v>
      </c>
    </row>
    <row r="322" spans="1:8" ht="12.75">
      <c r="A322" s="46">
        <f ca="1">IFERROR(__xludf.DUMMYFUNCTION("""COMPUTED_VALUE"""),310)</f>
        <v>310</v>
      </c>
      <c r="B322" s="65" t="str">
        <f ca="1">IFERROR(__xludf.DUMMYFUNCTION("""COMPUTED_VALUE"""),"525151")</f>
        <v>525151</v>
      </c>
      <c r="C322" s="48" t="str">
        <f ca="1">IFERROR(__xludf.DUMMYFUNCTION("""COMPUTED_VALUE"""),"KONECNY")</f>
        <v>KONECNY</v>
      </c>
      <c r="D322" s="48" t="str">
        <f ca="1">IFERROR(__xludf.DUMMYFUNCTION("""COMPUTED_VALUE"""),"Mathieu")</f>
        <v>Mathieu</v>
      </c>
      <c r="E322" s="49" t="str">
        <f ca="1">IFERROR(__xludf.DUMMYFUNCTION("""COMPUTED_VALUE"""),"06520003")</f>
        <v>06520003</v>
      </c>
      <c r="F322" s="48" t="str">
        <f ca="1">IFERROR(__xludf.DUMMYFUNCTION("""COMPUTED_VALUE"""),"EURVILLE BIENVILLE Jeunes")</f>
        <v>EURVILLE BIENVILLE Jeunes</v>
      </c>
      <c r="G322" s="50" t="str">
        <f ca="1">IFERROR(__xludf.DUMMYFUNCTION("""COMPUTED_VALUE"""),"CD52")</f>
        <v>CD52</v>
      </c>
      <c r="H322" s="50" t="str">
        <f ca="1">IFERROR(__xludf.DUMMYFUNCTION("""COMPUTED_VALUE"""),"inactivité 1ère année")</f>
        <v>inactivité 1ère année</v>
      </c>
    </row>
    <row r="323" spans="1:8" ht="12.75">
      <c r="A323" s="46">
        <f ca="1">IFERROR(__xludf.DUMMYFUNCTION("""COMPUTED_VALUE"""),311)</f>
        <v>311</v>
      </c>
      <c r="B323" s="65" t="str">
        <f ca="1">IFERROR(__xludf.DUMMYFUNCTION("""COMPUTED_VALUE"""),"687839")</f>
        <v>687839</v>
      </c>
      <c r="C323" s="48" t="str">
        <f ca="1">IFERROR(__xludf.DUMMYFUNCTION("""COMPUTED_VALUE"""),"KOPFF")</f>
        <v>KOPFF</v>
      </c>
      <c r="D323" s="48" t="str">
        <f ca="1">IFERROR(__xludf.DUMMYFUNCTION("""COMPUTED_VALUE"""),"Jean-Philippe")</f>
        <v>Jean-Philippe</v>
      </c>
      <c r="E323" s="49" t="str">
        <f ca="1">IFERROR(__xludf.DUMMYFUNCTION("""COMPUTED_VALUE"""),"06680116")</f>
        <v>06680116</v>
      </c>
      <c r="F323" s="48" t="str">
        <f ca="1">IFERROR(__xludf.DUMMYFUNCTION("""COMPUTED_VALUE"""),"WINTZFELDEN TT")</f>
        <v>WINTZFELDEN TT</v>
      </c>
      <c r="G323" s="50" t="str">
        <f ca="1">IFERROR(__xludf.DUMMYFUNCTION("""COMPUTED_VALUE"""),"CD68")</f>
        <v>CD68</v>
      </c>
      <c r="H323" s="50" t="str">
        <f ca="1">IFERROR(__xludf.DUMMYFUNCTION("""COMPUTED_VALUE"""),"inactivité 2ème année")</f>
        <v>inactivité 2ème année</v>
      </c>
    </row>
    <row r="324" spans="1:8" ht="12.75">
      <c r="A324" s="46">
        <f ca="1">IFERROR(__xludf.DUMMYFUNCTION("""COMPUTED_VALUE"""),312)</f>
        <v>312</v>
      </c>
      <c r="B324" s="65" t="str">
        <f ca="1">IFERROR(__xludf.DUMMYFUNCTION("""COMPUTED_VALUE"""),"6718913")</f>
        <v>6718913</v>
      </c>
      <c r="C324" s="48" t="str">
        <f ca="1">IFERROR(__xludf.DUMMYFUNCTION("""COMPUTED_VALUE"""),"KRAEMER")</f>
        <v>KRAEMER</v>
      </c>
      <c r="D324" s="48" t="str">
        <f ca="1">IFERROR(__xludf.DUMMYFUNCTION("""COMPUTED_VALUE"""),"Alain")</f>
        <v>Alain</v>
      </c>
      <c r="E324" s="49" t="str">
        <f ca="1">IFERROR(__xludf.DUMMYFUNCTION("""COMPUTED_VALUE"""),"06670045")</f>
        <v>06670045</v>
      </c>
      <c r="F324" s="48" t="str">
        <f ca="1">IFERROR(__xludf.DUMMYFUNCTION("""COMPUTED_VALUE"""),"STRASBOURG RC")</f>
        <v>STRASBOURG RC</v>
      </c>
      <c r="G324" s="50" t="str">
        <f ca="1">IFERROR(__xludf.DUMMYFUNCTION("""COMPUTED_VALUE"""),"CD67")</f>
        <v>CD67</v>
      </c>
      <c r="H324" s="50" t="str">
        <f ca="1">IFERROR(__xludf.DUMMYFUNCTION("""COMPUTED_VALUE"""),"actif")</f>
        <v>actif</v>
      </c>
    </row>
    <row r="325" spans="1:8" ht="12.75">
      <c r="A325" s="46">
        <f ca="1">IFERROR(__xludf.DUMMYFUNCTION("""COMPUTED_VALUE"""),313)</f>
        <v>313</v>
      </c>
      <c r="B325" s="65" t="str">
        <f ca="1">IFERROR(__xludf.DUMMYFUNCTION("""COMPUTED_VALUE"""),"679533")</f>
        <v>679533</v>
      </c>
      <c r="C325" s="48" t="str">
        <f ca="1">IFERROR(__xludf.DUMMYFUNCTION("""COMPUTED_VALUE"""),"KRAUS")</f>
        <v>KRAUS</v>
      </c>
      <c r="D325" s="48" t="str">
        <f ca="1">IFERROR(__xludf.DUMMYFUNCTION("""COMPUTED_VALUE"""),"Daniel")</f>
        <v>Daniel</v>
      </c>
      <c r="E325" s="49" t="str">
        <f ca="1">IFERROR(__xludf.DUMMYFUNCTION("""COMPUTED_VALUE"""),"06680090")</f>
        <v>06680090</v>
      </c>
      <c r="F325" s="48" t="str">
        <f ca="1">IFERROR(__xludf.DUMMYFUNCTION("""COMPUTED_VALUE"""),"INGERSHEIM SSSA")</f>
        <v>INGERSHEIM SSSA</v>
      </c>
      <c r="G325" s="50" t="str">
        <f ca="1">IFERROR(__xludf.DUMMYFUNCTION("""COMPUTED_VALUE"""),"CD68")</f>
        <v>CD68</v>
      </c>
      <c r="H325" s="50" t="str">
        <f ca="1">IFERROR(__xludf.DUMMYFUNCTION("""COMPUTED_VALUE"""),"actif")</f>
        <v>actif</v>
      </c>
    </row>
    <row r="326" spans="1:8" ht="12.75">
      <c r="A326" s="46">
        <f ca="1">IFERROR(__xludf.DUMMYFUNCTION("""COMPUTED_VALUE"""),314)</f>
        <v>314</v>
      </c>
      <c r="B326" s="65" t="str">
        <f ca="1">IFERROR(__xludf.DUMMYFUNCTION("""COMPUTED_VALUE"""),"5433857")</f>
        <v>5433857</v>
      </c>
      <c r="C326" s="48" t="str">
        <f ca="1">IFERROR(__xludf.DUMMYFUNCTION("""COMPUTED_VALUE"""),"KRAUSS")</f>
        <v>KRAUSS</v>
      </c>
      <c r="D326" s="48" t="str">
        <f ca="1">IFERROR(__xludf.DUMMYFUNCTION("""COMPUTED_VALUE"""),"Baptiste")</f>
        <v>Baptiste</v>
      </c>
      <c r="E326" s="49" t="str">
        <f ca="1">IFERROR(__xludf.DUMMYFUNCTION("""COMPUTED_VALUE"""),"06540128")</f>
        <v>06540128</v>
      </c>
      <c r="F326" s="48" t="str">
        <f ca="1">IFERROR(__xludf.DUMMYFUNCTION("""COMPUTED_VALUE"""),"PONT A MOUSSON A.S.T.T.")</f>
        <v>PONT A MOUSSON A.S.T.T.</v>
      </c>
      <c r="G326" s="50" t="str">
        <f ca="1">IFERROR(__xludf.DUMMYFUNCTION("""COMPUTED_VALUE"""),"CD54")</f>
        <v>CD54</v>
      </c>
      <c r="H326" s="50" t="str">
        <f ca="1">IFERROR(__xludf.DUMMYFUNCTION("""COMPUTED_VALUE"""),"actif")</f>
        <v>actif</v>
      </c>
    </row>
    <row r="327" spans="1:8" ht="12.75">
      <c r="A327" s="46">
        <f ca="1">IFERROR(__xludf.DUMMYFUNCTION("""COMPUTED_VALUE"""),315)</f>
        <v>315</v>
      </c>
      <c r="B327" s="65" t="str">
        <f ca="1">IFERROR(__xludf.DUMMYFUNCTION("""COMPUTED_VALUE"""),"6725068")</f>
        <v>6725068</v>
      </c>
      <c r="C327" s="48" t="str">
        <f ca="1">IFERROR(__xludf.DUMMYFUNCTION("""COMPUTED_VALUE"""),"KRETTNICH")</f>
        <v>KRETTNICH</v>
      </c>
      <c r="D327" s="48" t="str">
        <f ca="1">IFERROR(__xludf.DUMMYFUNCTION("""COMPUTED_VALUE"""),"Patrick")</f>
        <v>Patrick</v>
      </c>
      <c r="E327" s="49" t="str">
        <f ca="1">IFERROR(__xludf.DUMMYFUNCTION("""COMPUTED_VALUE"""),"06670043")</f>
        <v>06670043</v>
      </c>
      <c r="F327" s="48" t="str">
        <f ca="1">IFERROR(__xludf.DUMMYFUNCTION("""COMPUTED_VALUE"""),"BRUMATH UNITAS Tennis de Table")</f>
        <v>BRUMATH UNITAS Tennis de Table</v>
      </c>
      <c r="G327" s="50" t="str">
        <f ca="1">IFERROR(__xludf.DUMMYFUNCTION("""COMPUTED_VALUE"""),"CD67")</f>
        <v>CD67</v>
      </c>
      <c r="H327" s="50" t="str">
        <f ca="1">IFERROR(__xludf.DUMMYFUNCTION("""COMPUTED_VALUE"""),"inactivité 1ère année")</f>
        <v>inactivité 1ère année</v>
      </c>
    </row>
    <row r="328" spans="1:8" ht="12.75">
      <c r="A328" s="46">
        <f ca="1">IFERROR(__xludf.DUMMYFUNCTION("""COMPUTED_VALUE"""),316)</f>
        <v>316</v>
      </c>
      <c r="B328" s="65" t="str">
        <f ca="1">IFERROR(__xludf.DUMMYFUNCTION("""COMPUTED_VALUE"""),"685991")</f>
        <v>685991</v>
      </c>
      <c r="C328" s="48" t="str">
        <f ca="1">IFERROR(__xludf.DUMMYFUNCTION("""COMPUTED_VALUE"""),"KREYER")</f>
        <v>KREYER</v>
      </c>
      <c r="D328" s="48" t="str">
        <f ca="1">IFERROR(__xludf.DUMMYFUNCTION("""COMPUTED_VALUE"""),"Yvan")</f>
        <v>Yvan</v>
      </c>
      <c r="E328" s="49" t="str">
        <f ca="1">IFERROR(__xludf.DUMMYFUNCTION("""COMPUTED_VALUE"""),"06680128")</f>
        <v>06680128</v>
      </c>
      <c r="F328" s="48" t="str">
        <f ca="1">IFERROR(__xludf.DUMMYFUNCTION("""COMPUTED_VALUE"""),"BERGHEIM CSS")</f>
        <v>BERGHEIM CSS</v>
      </c>
      <c r="G328" s="50" t="str">
        <f ca="1">IFERROR(__xludf.DUMMYFUNCTION("""COMPUTED_VALUE"""),"CD68")</f>
        <v>CD68</v>
      </c>
      <c r="H328" s="50" t="str">
        <f ca="1">IFERROR(__xludf.DUMMYFUNCTION("""COMPUTED_VALUE"""),"actif")</f>
        <v>actif</v>
      </c>
    </row>
    <row r="329" spans="1:8" ht="12.75">
      <c r="A329" s="46">
        <f ca="1">IFERROR(__xludf.DUMMYFUNCTION("""COMPUTED_VALUE"""),317)</f>
        <v>317</v>
      </c>
      <c r="B329" s="65" t="str">
        <f ca="1">IFERROR(__xludf.DUMMYFUNCTION("""COMPUTED_VALUE"""),"5731688")</f>
        <v>5731688</v>
      </c>
      <c r="C329" s="48" t="str">
        <f ca="1">IFERROR(__xludf.DUMMYFUNCTION("""COMPUTED_VALUE"""),"KUNTZ")</f>
        <v>KUNTZ</v>
      </c>
      <c r="D329" s="48" t="str">
        <f ca="1">IFERROR(__xludf.DUMMYFUNCTION("""COMPUTED_VALUE"""),"Nicolas")</f>
        <v>Nicolas</v>
      </c>
      <c r="E329" s="49" t="str">
        <f ca="1">IFERROR(__xludf.DUMMYFUNCTION("""COMPUTED_VALUE"""),"06570029")</f>
        <v>06570029</v>
      </c>
      <c r="F329" s="48" t="str">
        <f ca="1">IFERROR(__xludf.DUMMYFUNCTION("""COMPUTED_VALUE"""),"WILLERWALD A.S.")</f>
        <v>WILLERWALD A.S.</v>
      </c>
      <c r="G329" s="50" t="str">
        <f ca="1">IFERROR(__xludf.DUMMYFUNCTION("""COMPUTED_VALUE"""),"CD57")</f>
        <v>CD57</v>
      </c>
      <c r="H329" s="50" t="str">
        <f ca="1">IFERROR(__xludf.DUMMYFUNCTION("""COMPUTED_VALUE"""),"actif")</f>
        <v>actif</v>
      </c>
    </row>
    <row r="330" spans="1:8" ht="12.75">
      <c r="A330" s="46">
        <f ca="1">IFERROR(__xludf.DUMMYFUNCTION("""COMPUTED_VALUE"""),318)</f>
        <v>318</v>
      </c>
      <c r="B330" s="65" t="str">
        <f ca="1">IFERROR(__xludf.DUMMYFUNCTION("""COMPUTED_VALUE"""),"682607")</f>
        <v>682607</v>
      </c>
      <c r="C330" s="48" t="str">
        <f ca="1">IFERROR(__xludf.DUMMYFUNCTION("""COMPUTED_VALUE"""),"KURC")</f>
        <v>KURC</v>
      </c>
      <c r="D330" s="48" t="str">
        <f ca="1">IFERROR(__xludf.DUMMYFUNCTION("""COMPUTED_VALUE"""),"Damien")</f>
        <v>Damien</v>
      </c>
      <c r="E330" s="49" t="str">
        <f ca="1">IFERROR(__xludf.DUMMYFUNCTION("""COMPUTED_VALUE"""),"06680105")</f>
        <v>06680105</v>
      </c>
      <c r="F330" s="48" t="str">
        <f ca="1">IFERROR(__xludf.DUMMYFUNCTION("""COMPUTED_VALUE"""),"MULHOUSE TENNIS DE TABLE")</f>
        <v>MULHOUSE TENNIS DE TABLE</v>
      </c>
      <c r="G330" s="50" t="str">
        <f ca="1">IFERROR(__xludf.DUMMYFUNCTION("""COMPUTED_VALUE"""),"CD68")</f>
        <v>CD68</v>
      </c>
      <c r="H330" s="50" t="str">
        <f ca="1">IFERROR(__xludf.DUMMYFUNCTION("""COMPUTED_VALUE"""),"inactivité 1ère année")</f>
        <v>inactivité 1ère année</v>
      </c>
    </row>
    <row r="331" spans="1:8" ht="12.75">
      <c r="A331" s="46">
        <f ca="1">IFERROR(__xludf.DUMMYFUNCTION("""COMPUTED_VALUE"""),319)</f>
        <v>319</v>
      </c>
      <c r="B331" s="65" t="str">
        <f ca="1">IFERROR(__xludf.DUMMYFUNCTION("""COMPUTED_VALUE"""),"686402")</f>
        <v>686402</v>
      </c>
      <c r="C331" s="48" t="str">
        <f ca="1">IFERROR(__xludf.DUMMYFUNCTION("""COMPUTED_VALUE"""),"KURC")</f>
        <v>KURC</v>
      </c>
      <c r="D331" s="48" t="str">
        <f ca="1">IFERROR(__xludf.DUMMYFUNCTION("""COMPUTED_VALUE"""),"Robert")</f>
        <v>Robert</v>
      </c>
      <c r="E331" s="49" t="str">
        <f ca="1">IFERROR(__xludf.DUMMYFUNCTION("""COMPUTED_VALUE"""),"06680105")</f>
        <v>06680105</v>
      </c>
      <c r="F331" s="48" t="str">
        <f ca="1">IFERROR(__xludf.DUMMYFUNCTION("""COMPUTED_VALUE"""),"MULHOUSE TENNIS DE TABLE")</f>
        <v>MULHOUSE TENNIS DE TABLE</v>
      </c>
      <c r="G331" s="50" t="str">
        <f ca="1">IFERROR(__xludf.DUMMYFUNCTION("""COMPUTED_VALUE"""),"CD68")</f>
        <v>CD68</v>
      </c>
      <c r="H331" s="50" t="str">
        <f ca="1">IFERROR(__xludf.DUMMYFUNCTION("""COMPUTED_VALUE"""),"inactivité 1ère année")</f>
        <v>inactivité 1ère année</v>
      </c>
    </row>
    <row r="332" spans="1:8" ht="12.75">
      <c r="A332" s="46">
        <f ca="1">IFERROR(__xludf.DUMMYFUNCTION("""COMPUTED_VALUE"""),320)</f>
        <v>320</v>
      </c>
      <c r="B332" s="65" t="str">
        <f ca="1">IFERROR(__xludf.DUMMYFUNCTION("""COMPUTED_VALUE"""),"8815565")</f>
        <v>8815565</v>
      </c>
      <c r="C332" s="48" t="str">
        <f ca="1">IFERROR(__xludf.DUMMYFUNCTION("""COMPUTED_VALUE"""),"L'HOTE")</f>
        <v>L'HOTE</v>
      </c>
      <c r="D332" s="48" t="str">
        <f ca="1">IFERROR(__xludf.DUMMYFUNCTION("""COMPUTED_VALUE"""),"Alexandre")</f>
        <v>Alexandre</v>
      </c>
      <c r="E332" s="49" t="str">
        <f ca="1">IFERROR(__xludf.DUMMYFUNCTION("""COMPUTED_VALUE"""),"06880071")</f>
        <v>06880071</v>
      </c>
      <c r="F332" s="48" t="str">
        <f ca="1">IFERROR(__xludf.DUMMYFUNCTION("""COMPUTED_VALUE"""),"EPINAL T.S.P.")</f>
        <v>EPINAL T.S.P.</v>
      </c>
      <c r="G332" s="50" t="str">
        <f ca="1">IFERROR(__xludf.DUMMYFUNCTION("""COMPUTED_VALUE"""),"CD88")</f>
        <v>CD88</v>
      </c>
      <c r="H332" s="50" t="str">
        <f ca="1">IFERROR(__xludf.DUMMYFUNCTION("""COMPUTED_VALUE"""),"inactivité 3ème année")</f>
        <v>inactivité 3ème année</v>
      </c>
    </row>
    <row r="333" spans="1:8" ht="12.75">
      <c r="A333" s="46">
        <f ca="1">IFERROR(__xludf.DUMMYFUNCTION("""COMPUTED_VALUE"""),321)</f>
        <v>321</v>
      </c>
      <c r="B333" s="65" t="str">
        <f ca="1">IFERROR(__xludf.DUMMYFUNCTION("""COMPUTED_VALUE"""),"547546")</f>
        <v>547546</v>
      </c>
      <c r="C333" s="48" t="str">
        <f ca="1">IFERROR(__xludf.DUMMYFUNCTION("""COMPUTED_VALUE"""),"LACHAMBRE")</f>
        <v>LACHAMBRE</v>
      </c>
      <c r="D333" s="48" t="str">
        <f ca="1">IFERROR(__xludf.DUMMYFUNCTION("""COMPUTED_VALUE"""),"Cedric")</f>
        <v>Cedric</v>
      </c>
      <c r="E333" s="49" t="str">
        <f ca="1">IFERROR(__xludf.DUMMYFUNCTION("""COMPUTED_VALUE"""),"06540088")</f>
        <v>06540088</v>
      </c>
      <c r="F333" s="48" t="str">
        <f ca="1">IFERROR(__xludf.DUMMYFUNCTION("""COMPUTED_VALUE"""),"CHANTEHEUX TT")</f>
        <v>CHANTEHEUX TT</v>
      </c>
      <c r="G333" s="50" t="str">
        <f ca="1">IFERROR(__xludf.DUMMYFUNCTION("""COMPUTED_VALUE"""),"CD54")</f>
        <v>CD54</v>
      </c>
      <c r="H333" s="50" t="str">
        <f ca="1">IFERROR(__xludf.DUMMYFUNCTION("""COMPUTED_VALUE"""),"inactivité 1ère année")</f>
        <v>inactivité 1ère année</v>
      </c>
    </row>
    <row r="334" spans="1:8" ht="12.75">
      <c r="A334" s="46">
        <f ca="1">IFERROR(__xludf.DUMMYFUNCTION("""COMPUTED_VALUE"""),322)</f>
        <v>322</v>
      </c>
      <c r="B334" s="65" t="str">
        <f ca="1">IFERROR(__xludf.DUMMYFUNCTION("""COMPUTED_VALUE"""),"5413055")</f>
        <v>5413055</v>
      </c>
      <c r="C334" s="48" t="str">
        <f ca="1">IFERROR(__xludf.DUMMYFUNCTION("""COMPUTED_VALUE"""),"LACOLOMBE")</f>
        <v>LACOLOMBE</v>
      </c>
      <c r="D334" s="48" t="str">
        <f ca="1">IFERROR(__xludf.DUMMYFUNCTION("""COMPUTED_VALUE"""),"Mathieu")</f>
        <v>Mathieu</v>
      </c>
      <c r="E334" s="49" t="str">
        <f ca="1">IFERROR(__xludf.DUMMYFUNCTION("""COMPUTED_VALUE"""),"06540032")</f>
        <v>06540032</v>
      </c>
      <c r="F334" s="48" t="str">
        <f ca="1">IFERROR(__xludf.DUMMYFUNCTION("""COMPUTED_VALUE"""),"NEUVES MAISONS TT")</f>
        <v>NEUVES MAISONS TT</v>
      </c>
      <c r="G334" s="50" t="str">
        <f ca="1">IFERROR(__xludf.DUMMYFUNCTION("""COMPUTED_VALUE"""),"CD54")</f>
        <v>CD54</v>
      </c>
      <c r="H334" s="50" t="str">
        <f ca="1">IFERROR(__xludf.DUMMYFUNCTION("""COMPUTED_VALUE"""),"actif")</f>
        <v>actif</v>
      </c>
    </row>
    <row r="335" spans="1:8" ht="12.75">
      <c r="A335" s="46">
        <f ca="1">IFERROR(__xludf.DUMMYFUNCTION("""COMPUTED_VALUE"""),323)</f>
        <v>323</v>
      </c>
      <c r="B335" s="65" t="str">
        <f ca="1">IFERROR(__xludf.DUMMYFUNCTION("""COMPUTED_VALUE"""),"5435338")</f>
        <v>5435338</v>
      </c>
      <c r="C335" s="48" t="str">
        <f ca="1">IFERROR(__xludf.DUMMYFUNCTION("""COMPUTED_VALUE"""),"LACOLOMBE")</f>
        <v>LACOLOMBE</v>
      </c>
      <c r="D335" s="48" t="str">
        <f ca="1">IFERROR(__xludf.DUMMYFUNCTION("""COMPUTED_VALUE"""),"Marjelaine")</f>
        <v>Marjelaine</v>
      </c>
      <c r="E335" s="49" t="str">
        <f ca="1">IFERROR(__xludf.DUMMYFUNCTION("""COMPUTED_VALUE"""),"06540032")</f>
        <v>06540032</v>
      </c>
      <c r="F335" s="48" t="str">
        <f ca="1">IFERROR(__xludf.DUMMYFUNCTION("""COMPUTED_VALUE"""),"NEUVES MAISONS TT")</f>
        <v>NEUVES MAISONS TT</v>
      </c>
      <c r="G335" s="50" t="str">
        <f ca="1">IFERROR(__xludf.DUMMYFUNCTION("""COMPUTED_VALUE"""),"CD54")</f>
        <v>CD54</v>
      </c>
      <c r="H335" s="50" t="str">
        <f ca="1">IFERROR(__xludf.DUMMYFUNCTION("""COMPUTED_VALUE"""),"actif")</f>
        <v>actif</v>
      </c>
    </row>
    <row r="336" spans="1:8" ht="12.75">
      <c r="A336" s="46">
        <f ca="1">IFERROR(__xludf.DUMMYFUNCTION("""COMPUTED_VALUE"""),324)</f>
        <v>324</v>
      </c>
      <c r="B336" s="65" t="str">
        <f ca="1">IFERROR(__xludf.DUMMYFUNCTION("""COMPUTED_VALUE"""),"522504")</f>
        <v>522504</v>
      </c>
      <c r="C336" s="48" t="str">
        <f ca="1">IFERROR(__xludf.DUMMYFUNCTION("""COMPUTED_VALUE"""),"LACOMBLE")</f>
        <v>LACOMBLE</v>
      </c>
      <c r="D336" s="48" t="str">
        <f ca="1">IFERROR(__xludf.DUMMYFUNCTION("""COMPUTED_VALUE"""),"Romuald")</f>
        <v>Romuald</v>
      </c>
      <c r="E336" s="49" t="str">
        <f ca="1">IFERROR(__xludf.DUMMYFUNCTION("""COMPUTED_VALUE"""),"06520003")</f>
        <v>06520003</v>
      </c>
      <c r="F336" s="48" t="str">
        <f ca="1">IFERROR(__xludf.DUMMYFUNCTION("""COMPUTED_VALUE"""),"EURVILLE BIENVILLE Jeunes")</f>
        <v>EURVILLE BIENVILLE Jeunes</v>
      </c>
      <c r="G336" s="50" t="str">
        <f ca="1">IFERROR(__xludf.DUMMYFUNCTION("""COMPUTED_VALUE"""),"CD52")</f>
        <v>CD52</v>
      </c>
      <c r="H336" s="50" t="str">
        <f ca="1">IFERROR(__xludf.DUMMYFUNCTION("""COMPUTED_VALUE"""),"inactivité 2ème année")</f>
        <v>inactivité 2ème année</v>
      </c>
    </row>
    <row r="337" spans="1:8" ht="12.75">
      <c r="A337" s="46">
        <f ca="1">IFERROR(__xludf.DUMMYFUNCTION("""COMPUTED_VALUE"""),325)</f>
        <v>325</v>
      </c>
      <c r="B337" s="65" t="str">
        <f ca="1">IFERROR(__xludf.DUMMYFUNCTION("""COMPUTED_VALUE"""),"572316")</f>
        <v>572316</v>
      </c>
      <c r="C337" s="48" t="str">
        <f ca="1">IFERROR(__xludf.DUMMYFUNCTION("""COMPUTED_VALUE"""),"LACROIX")</f>
        <v>LACROIX</v>
      </c>
      <c r="D337" s="48" t="str">
        <f ca="1">IFERROR(__xludf.DUMMYFUNCTION("""COMPUTED_VALUE"""),"Fabrice")</f>
        <v>Fabrice</v>
      </c>
      <c r="E337" s="49" t="str">
        <f ca="1">IFERROR(__xludf.DUMMYFUNCTION("""COMPUTED_VALUE"""),"06570073")</f>
        <v>06570073</v>
      </c>
      <c r="F337" s="48" t="str">
        <f ca="1">IFERROR(__xludf.DUMMYFUNCTION("""COMPUTED_VALUE"""),"TERVILLE Tennis de Table")</f>
        <v>TERVILLE Tennis de Table</v>
      </c>
      <c r="G337" s="50" t="str">
        <f ca="1">IFERROR(__xludf.DUMMYFUNCTION("""COMPUTED_VALUE"""),"CD57")</f>
        <v>CD57</v>
      </c>
      <c r="H337" s="50" t="str">
        <f ca="1">IFERROR(__xludf.DUMMYFUNCTION("""COMPUTED_VALUE"""),"inactivité 2ème année")</f>
        <v>inactivité 2ème année</v>
      </c>
    </row>
    <row r="338" spans="1:8" ht="12.75">
      <c r="A338" s="46">
        <f ca="1">IFERROR(__xludf.DUMMYFUNCTION("""COMPUTED_VALUE"""),326)</f>
        <v>326</v>
      </c>
      <c r="B338" s="65" t="str">
        <f ca="1">IFERROR(__xludf.DUMMYFUNCTION("""COMPUTED_VALUE"""),"887186")</f>
        <v>887186</v>
      </c>
      <c r="C338" s="48" t="str">
        <f ca="1">IFERROR(__xludf.DUMMYFUNCTION("""COMPUTED_VALUE"""),"LAFONTAINE")</f>
        <v>LAFONTAINE</v>
      </c>
      <c r="D338" s="48" t="str">
        <f ca="1">IFERROR(__xludf.DUMMYFUNCTION("""COMPUTED_VALUE"""),"Michel")</f>
        <v>Michel</v>
      </c>
      <c r="E338" s="49" t="str">
        <f ca="1">IFERROR(__xludf.DUMMYFUNCTION("""COMPUTED_VALUE"""),"06540199")</f>
        <v>06540199</v>
      </c>
      <c r="F338" s="48" t="str">
        <f ca="1">IFERROR(__xludf.DUMMYFUNCTION("""COMPUTED_VALUE"""),"HOUDEMONT ATT")</f>
        <v>HOUDEMONT ATT</v>
      </c>
      <c r="G338" s="50" t="str">
        <f ca="1">IFERROR(__xludf.DUMMYFUNCTION("""COMPUTED_VALUE"""),"CD54")</f>
        <v>CD54</v>
      </c>
      <c r="H338" s="50" t="str">
        <f ca="1">IFERROR(__xludf.DUMMYFUNCTION("""COMPUTED_VALUE"""),"actif")</f>
        <v>actif</v>
      </c>
    </row>
    <row r="339" spans="1:8" ht="12.75">
      <c r="A339" s="46">
        <f ca="1">IFERROR(__xludf.DUMMYFUNCTION("""COMPUTED_VALUE"""),327)</f>
        <v>327</v>
      </c>
      <c r="B339" s="65" t="str">
        <f ca="1">IFERROR(__xludf.DUMMYFUNCTION("""COMPUTED_VALUE"""),"8813650")</f>
        <v>8813650</v>
      </c>
      <c r="C339" s="48" t="str">
        <f ca="1">IFERROR(__xludf.DUMMYFUNCTION("""COMPUTED_VALUE"""),"LAMAZE")</f>
        <v>LAMAZE</v>
      </c>
      <c r="D339" s="48" t="str">
        <f ca="1">IFERROR(__xludf.DUMMYFUNCTION("""COMPUTED_VALUE"""),"Corentin")</f>
        <v>Corentin</v>
      </c>
      <c r="E339" s="49" t="str">
        <f ca="1">IFERROR(__xludf.DUMMYFUNCTION("""COMPUTED_VALUE"""),"06540040")</f>
        <v>06540040</v>
      </c>
      <c r="F339" s="48" t="str">
        <f ca="1">IFERROR(__xludf.DUMMYFUNCTION("""COMPUTED_VALUE"""),"VILLERS LES NANCY C.O.S.")</f>
        <v>VILLERS LES NANCY C.O.S.</v>
      </c>
      <c r="G339" s="50" t="str">
        <f ca="1">IFERROR(__xludf.DUMMYFUNCTION("""COMPUTED_VALUE"""),"CD54")</f>
        <v>CD54</v>
      </c>
      <c r="H339" s="50" t="str">
        <f ca="1">IFERROR(__xludf.DUMMYFUNCTION("""COMPUTED_VALUE"""),"actif")</f>
        <v>actif</v>
      </c>
    </row>
    <row r="340" spans="1:8" ht="12.75">
      <c r="A340" s="46">
        <f ca="1">IFERROR(__xludf.DUMMYFUNCTION("""COMPUTED_VALUE"""),328)</f>
        <v>328</v>
      </c>
      <c r="B340" s="65" t="str">
        <f ca="1">IFERROR(__xludf.DUMMYFUNCTION("""COMPUTED_VALUE"""),"106011")</f>
        <v>106011</v>
      </c>
      <c r="C340" s="48" t="str">
        <f ca="1">IFERROR(__xludf.DUMMYFUNCTION("""COMPUTED_VALUE"""),"LAMBERT")</f>
        <v>LAMBERT</v>
      </c>
      <c r="D340" s="48" t="str">
        <f ca="1">IFERROR(__xludf.DUMMYFUNCTION("""COMPUTED_VALUE"""),"Paul")</f>
        <v>Paul</v>
      </c>
      <c r="E340" s="49" t="str">
        <f ca="1">IFERROR(__xludf.DUMMYFUNCTION("""COMPUTED_VALUE"""),"06100015")</f>
        <v>06100015</v>
      </c>
      <c r="F340" s="48" t="str">
        <f ca="1">IFERROR(__xludf.DUMMYFUNCTION("""COMPUTED_VALUE"""),"TROYES JEUNE GARDE")</f>
        <v>TROYES JEUNE GARDE</v>
      </c>
      <c r="G340" s="50" t="str">
        <f ca="1">IFERROR(__xludf.DUMMYFUNCTION("""COMPUTED_VALUE"""),"CD10")</f>
        <v>CD10</v>
      </c>
      <c r="H340" s="50" t="str">
        <f ca="1">IFERROR(__xludf.DUMMYFUNCTION("""COMPUTED_VALUE"""),"inactivité 1ère année")</f>
        <v>inactivité 1ère année</v>
      </c>
    </row>
    <row r="341" spans="1:8" ht="12.75">
      <c r="A341" s="46">
        <f ca="1">IFERROR(__xludf.DUMMYFUNCTION("""COMPUTED_VALUE"""),329)</f>
        <v>329</v>
      </c>
      <c r="B341" s="65" t="str">
        <f ca="1">IFERROR(__xludf.DUMMYFUNCTION("""COMPUTED_VALUE"""),"5731467")</f>
        <v>5731467</v>
      </c>
      <c r="C341" s="48" t="str">
        <f ca="1">IFERROR(__xludf.DUMMYFUNCTION("""COMPUTED_VALUE"""),"LAMIRAND")</f>
        <v>LAMIRAND</v>
      </c>
      <c r="D341" s="48" t="str">
        <f ca="1">IFERROR(__xludf.DUMMYFUNCTION("""COMPUTED_VALUE"""),"Stéphane")</f>
        <v>Stéphane</v>
      </c>
      <c r="E341" s="49" t="str">
        <f ca="1">IFERROR(__xludf.DUMMYFUNCTION("""COMPUTED_VALUE"""),"06570107")</f>
        <v>06570107</v>
      </c>
      <c r="F341" s="48" t="str">
        <f ca="1">IFERROR(__xludf.DUMMYFUNCTION("""COMPUTED_VALUE"""),"MAIZIÈRES-LÈS-METZ T.T.")</f>
        <v>MAIZIÈRES-LÈS-METZ T.T.</v>
      </c>
      <c r="G341" s="50" t="str">
        <f ca="1">IFERROR(__xludf.DUMMYFUNCTION("""COMPUTED_VALUE"""),"CD57")</f>
        <v>CD57</v>
      </c>
      <c r="H341" s="50" t="str">
        <f ca="1">IFERROR(__xludf.DUMMYFUNCTION("""COMPUTED_VALUE"""),"actif")</f>
        <v>actif</v>
      </c>
    </row>
    <row r="342" spans="1:8" ht="12.75">
      <c r="A342" s="46">
        <f ca="1">IFERROR(__xludf.DUMMYFUNCTION("""COMPUTED_VALUE"""),330)</f>
        <v>330</v>
      </c>
      <c r="B342" s="65" t="str">
        <f ca="1">IFERROR(__xludf.DUMMYFUNCTION("""COMPUTED_VALUE"""),"103918")</f>
        <v>103918</v>
      </c>
      <c r="C342" s="48" t="str">
        <f ca="1">IFERROR(__xludf.DUMMYFUNCTION("""COMPUTED_VALUE"""),"LAMY")</f>
        <v>LAMY</v>
      </c>
      <c r="D342" s="48" t="str">
        <f ca="1">IFERROR(__xludf.DUMMYFUNCTION("""COMPUTED_VALUE"""),"Florent")</f>
        <v>Florent</v>
      </c>
      <c r="E342" s="74" t="str">
        <f ca="1">IFERROR(__xludf.DUMMYFUNCTION("""COMPUTED_VALUE"""),"06100004")</f>
        <v>06100004</v>
      </c>
      <c r="F342" s="72" t="str">
        <f ca="1">IFERROR(__xludf.DUMMYFUNCTION("""COMPUTED_VALUE"""),"MOUSSEY CS")</f>
        <v>MOUSSEY CS</v>
      </c>
      <c r="G342" s="50" t="str">
        <f ca="1">IFERROR(__xludf.DUMMYFUNCTION("""COMPUTED_VALUE"""),"CD10")</f>
        <v>CD10</v>
      </c>
      <c r="H342" s="50" t="str">
        <f ca="1">IFERROR(__xludf.DUMMYFUNCTION("""COMPUTED_VALUE"""),"inactivité 3ème année")</f>
        <v>inactivité 3ème année</v>
      </c>
    </row>
    <row r="343" spans="1:8" ht="12.75">
      <c r="A343" s="46">
        <f ca="1">IFERROR(__xludf.DUMMYFUNCTION("""COMPUTED_VALUE"""),331)</f>
        <v>331</v>
      </c>
      <c r="B343" s="65" t="str">
        <f ca="1">IFERROR(__xludf.DUMMYFUNCTION("""COMPUTED_VALUE"""),"6811452")</f>
        <v>6811452</v>
      </c>
      <c r="C343" s="48" t="str">
        <f ca="1">IFERROR(__xludf.DUMMYFUNCTION("""COMPUTED_VALUE"""),"LANG")</f>
        <v>LANG</v>
      </c>
      <c r="D343" s="48" t="str">
        <f ca="1">IFERROR(__xludf.DUMMYFUNCTION("""COMPUTED_VALUE"""),"Maxime")</f>
        <v>Maxime</v>
      </c>
      <c r="E343" s="49" t="str">
        <f ca="1">IFERROR(__xludf.DUMMYFUNCTION("""COMPUTED_VALUE"""),"06680125")</f>
        <v>06680125</v>
      </c>
      <c r="F343" s="48" t="str">
        <f ca="1">IFERROR(__xludf.DUMMYFUNCTION("""COMPUTED_VALUE"""),"ROSENAU TT")</f>
        <v>ROSENAU TT</v>
      </c>
      <c r="G343" s="50" t="str">
        <f ca="1">IFERROR(__xludf.DUMMYFUNCTION("""COMPUTED_VALUE"""),"CD68")</f>
        <v>CD68</v>
      </c>
      <c r="H343" s="50" t="str">
        <f ca="1">IFERROR(__xludf.DUMMYFUNCTION("""COMPUTED_VALUE"""),"inactivité 2ème année")</f>
        <v>inactivité 2ème année</v>
      </c>
    </row>
    <row r="344" spans="1:8" ht="12.75">
      <c r="A344" s="46">
        <f ca="1">IFERROR(__xludf.DUMMYFUNCTION("""COMPUTED_VALUE"""),332)</f>
        <v>332</v>
      </c>
      <c r="B344" s="65" t="str">
        <f ca="1">IFERROR(__xludf.DUMMYFUNCTION("""COMPUTED_VALUE"""),"101554")</f>
        <v>101554</v>
      </c>
      <c r="C344" s="48" t="str">
        <f ca="1">IFERROR(__xludf.DUMMYFUNCTION("""COMPUTED_VALUE"""),"LARCHER")</f>
        <v>LARCHER</v>
      </c>
      <c r="D344" s="48" t="str">
        <f ca="1">IFERROR(__xludf.DUMMYFUNCTION("""COMPUTED_VALUE"""),"Claudie")</f>
        <v>Claudie</v>
      </c>
      <c r="E344" s="49" t="str">
        <f ca="1">IFERROR(__xludf.DUMMYFUNCTION("""COMPUTED_VALUE"""),"06100015")</f>
        <v>06100015</v>
      </c>
      <c r="F344" s="48" t="str">
        <f ca="1">IFERROR(__xludf.DUMMYFUNCTION("""COMPUTED_VALUE"""),"TROYES JEUNE GARDE")</f>
        <v>TROYES JEUNE GARDE</v>
      </c>
      <c r="G344" s="50" t="str">
        <f ca="1">IFERROR(__xludf.DUMMYFUNCTION("""COMPUTED_VALUE"""),"CD10")</f>
        <v>CD10</v>
      </c>
      <c r="H344" s="50" t="str">
        <f ca="1">IFERROR(__xludf.DUMMYFUNCTION("""COMPUTED_VALUE"""),"actif")</f>
        <v>actif</v>
      </c>
    </row>
    <row r="345" spans="1:8" ht="12.75">
      <c r="A345" s="46">
        <f ca="1">IFERROR(__xludf.DUMMYFUNCTION("""COMPUTED_VALUE"""),333)</f>
        <v>333</v>
      </c>
      <c r="B345" s="65" t="str">
        <f ca="1">IFERROR(__xludf.DUMMYFUNCTION("""COMPUTED_VALUE"""),"542499")</f>
        <v>542499</v>
      </c>
      <c r="C345" s="48" t="str">
        <f ca="1">IFERROR(__xludf.DUMMYFUNCTION("""COMPUTED_VALUE"""),"LAURRIN")</f>
        <v>LAURRIN</v>
      </c>
      <c r="D345" s="48" t="str">
        <f ca="1">IFERROR(__xludf.DUMMYFUNCTION("""COMPUTED_VALUE"""),"David")</f>
        <v>David</v>
      </c>
      <c r="E345" s="49" t="str">
        <f ca="1">IFERROR(__xludf.DUMMYFUNCTION("""COMPUTED_VALUE"""),"06540128")</f>
        <v>06540128</v>
      </c>
      <c r="F345" s="48" t="str">
        <f ca="1">IFERROR(__xludf.DUMMYFUNCTION("""COMPUTED_VALUE"""),"PONT A MOUSSON A.S.T.T.")</f>
        <v>PONT A MOUSSON A.S.T.T.</v>
      </c>
      <c r="G345" s="50" t="str">
        <f ca="1">IFERROR(__xludf.DUMMYFUNCTION("""COMPUTED_VALUE"""),"CD54")</f>
        <v>CD54</v>
      </c>
      <c r="H345" s="50" t="str">
        <f ca="1">IFERROR(__xludf.DUMMYFUNCTION("""COMPUTED_VALUE"""),"inactivité 3ème année")</f>
        <v>inactivité 3ème année</v>
      </c>
    </row>
    <row r="346" spans="1:8" ht="12.75">
      <c r="A346" s="46">
        <f ca="1">IFERROR(__xludf.DUMMYFUNCTION("""COMPUTED_VALUE"""),334)</f>
        <v>334</v>
      </c>
      <c r="B346" s="65" t="str">
        <f ca="1">IFERROR(__xludf.DUMMYFUNCTION("""COMPUTED_VALUE"""),"6718956")</f>
        <v>6718956</v>
      </c>
      <c r="C346" s="48" t="str">
        <f ca="1">IFERROR(__xludf.DUMMYFUNCTION("""COMPUTED_VALUE"""),"LAVENN")</f>
        <v>LAVENN</v>
      </c>
      <c r="D346" s="48" t="str">
        <f ca="1">IFERROR(__xludf.DUMMYFUNCTION("""COMPUTED_VALUE"""),"Emmanuel")</f>
        <v>Emmanuel</v>
      </c>
      <c r="E346" s="49" t="str">
        <f ca="1">IFERROR(__xludf.DUMMYFUNCTION("""COMPUTED_VALUE"""),"06670041")</f>
        <v>06670041</v>
      </c>
      <c r="F346" s="48" t="str">
        <f ca="1">IFERROR(__xludf.DUMMYFUNCTION("""COMPUTED_VALUE"""),"ZORN TT HOCHFELDEN")</f>
        <v>ZORN TT HOCHFELDEN</v>
      </c>
      <c r="G346" s="50" t="str">
        <f ca="1">IFERROR(__xludf.DUMMYFUNCTION("""COMPUTED_VALUE"""),"CD67")</f>
        <v>CD67</v>
      </c>
      <c r="H346" s="50" t="str">
        <f ca="1">IFERROR(__xludf.DUMMYFUNCTION("""COMPUTED_VALUE"""),"inactivité 3ème année")</f>
        <v>inactivité 3ème année</v>
      </c>
    </row>
    <row r="347" spans="1:8" ht="12.75">
      <c r="A347" s="46">
        <f ca="1">IFERROR(__xludf.DUMMYFUNCTION("""COMPUTED_VALUE"""),335)</f>
        <v>335</v>
      </c>
      <c r="B347" s="65" t="str">
        <f ca="1">IFERROR(__xludf.DUMMYFUNCTION("""COMPUTED_VALUE"""),"089664")</f>
        <v>089664</v>
      </c>
      <c r="C347" s="48" t="str">
        <f ca="1">IFERROR(__xludf.DUMMYFUNCTION("""COMPUTED_VALUE"""),"LE BIHAN")</f>
        <v>LE BIHAN</v>
      </c>
      <c r="D347" s="48" t="str">
        <f ca="1">IFERROR(__xludf.DUMMYFUNCTION("""COMPUTED_VALUE"""),"Erwan")</f>
        <v>Erwan</v>
      </c>
      <c r="E347" s="49" t="str">
        <f ca="1">IFERROR(__xludf.DUMMYFUNCTION("""COMPUTED_VALUE"""),"06080013")</f>
        <v>06080013</v>
      </c>
      <c r="F347" s="48" t="str">
        <f ca="1">IFERROR(__xludf.DUMMYFUNCTION("""COMPUTED_VALUE"""),"TAGNON PPC")</f>
        <v>TAGNON PPC</v>
      </c>
      <c r="G347" s="50" t="str">
        <f ca="1">IFERROR(__xludf.DUMMYFUNCTION("""COMPUTED_VALUE"""),"CD08")</f>
        <v>CD08</v>
      </c>
      <c r="H347" s="50" t="str">
        <f ca="1">IFERROR(__xludf.DUMMYFUNCTION("""COMPUTED_VALUE"""),"inactivité 3ème année")</f>
        <v>inactivité 3ème année</v>
      </c>
    </row>
    <row r="348" spans="1:8" ht="12.75">
      <c r="A348" s="46">
        <f ca="1">IFERROR(__xludf.DUMMYFUNCTION("""COMPUTED_VALUE"""),336)</f>
        <v>336</v>
      </c>
      <c r="B348" s="65" t="str">
        <f ca="1">IFERROR(__xludf.DUMMYFUNCTION("""COMPUTED_VALUE"""),"5114836")</f>
        <v>5114836</v>
      </c>
      <c r="C348" s="48" t="str">
        <f ca="1">IFERROR(__xludf.DUMMYFUNCTION("""COMPUTED_VALUE"""),"LE FORESTIER")</f>
        <v>LE FORESTIER</v>
      </c>
      <c r="D348" s="48" t="str">
        <f ca="1">IFERROR(__xludf.DUMMYFUNCTION("""COMPUTED_VALUE"""),"Malcolm")</f>
        <v>Malcolm</v>
      </c>
      <c r="E348" s="49" t="str">
        <f ca="1">IFERROR(__xludf.DUMMYFUNCTION("""COMPUTED_VALUE"""),"06510112")</f>
        <v>06510112</v>
      </c>
      <c r="F348" s="48" t="str">
        <f ca="1">IFERROR(__xludf.DUMMYFUNCTION("""COMPUTED_VALUE"""),"CHALONS-EN-CHAMPAGNE TT")</f>
        <v>CHALONS-EN-CHAMPAGNE TT</v>
      </c>
      <c r="G348" s="50" t="str">
        <f ca="1">IFERROR(__xludf.DUMMYFUNCTION("""COMPUTED_VALUE"""),"CD51")</f>
        <v>CD51</v>
      </c>
      <c r="H348" s="50" t="str">
        <f ca="1">IFERROR(__xludf.DUMMYFUNCTION("""COMPUTED_VALUE"""),"actif")</f>
        <v>actif</v>
      </c>
    </row>
    <row r="349" spans="1:8" ht="12.75">
      <c r="A349" s="46">
        <f ca="1">IFERROR(__xludf.DUMMYFUNCTION("""COMPUTED_VALUE"""),337)</f>
        <v>337</v>
      </c>
      <c r="B349" s="65" t="str">
        <f ca="1">IFERROR(__xludf.DUMMYFUNCTION("""COMPUTED_VALUE"""),"6725053")</f>
        <v>6725053</v>
      </c>
      <c r="C349" s="48" t="str">
        <f ca="1">IFERROR(__xludf.DUMMYFUNCTION("""COMPUTED_VALUE"""),"LE GUELVOUIT")</f>
        <v>LE GUELVOUIT</v>
      </c>
      <c r="D349" s="48" t="str">
        <f ca="1">IFERROR(__xludf.DUMMYFUNCTION("""COMPUTED_VALUE"""),"Ambre")</f>
        <v>Ambre</v>
      </c>
      <c r="E349" s="49" t="str">
        <f ca="1">IFERROR(__xludf.DUMMYFUNCTION("""COMPUTED_VALUE"""),"06670279")</f>
        <v>06670279</v>
      </c>
      <c r="F349" s="48" t="str">
        <f ca="1">IFERROR(__xludf.DUMMYFUNCTION("""COMPUTED_VALUE"""),"Etoile Pongiste de SCHLEITHAL ")</f>
        <v xml:space="preserve">Etoile Pongiste de SCHLEITHAL </v>
      </c>
      <c r="G349" s="50" t="str">
        <f ca="1">IFERROR(__xludf.DUMMYFUNCTION("""COMPUTED_VALUE"""),"CD67")</f>
        <v>CD67</v>
      </c>
      <c r="H349" s="50" t="str">
        <f ca="1">IFERROR(__xludf.DUMMYFUNCTION("""COMPUTED_VALUE"""),"actif")</f>
        <v>actif</v>
      </c>
    </row>
    <row r="350" spans="1:8" ht="12.75">
      <c r="A350" s="46">
        <f ca="1">IFERROR(__xludf.DUMMYFUNCTION("""COMPUTED_VALUE"""),338)</f>
        <v>338</v>
      </c>
      <c r="B350" s="65" t="str">
        <f ca="1">IFERROR(__xludf.DUMMYFUNCTION("""COMPUTED_VALUE"""),"6727764")</f>
        <v>6727764</v>
      </c>
      <c r="C350" s="48" t="str">
        <f ca="1">IFERROR(__xludf.DUMMYFUNCTION("""COMPUTED_VALUE"""),"LE GUELVOUIT")</f>
        <v>LE GUELVOUIT</v>
      </c>
      <c r="D350" s="48" t="str">
        <f ca="1">IFERROR(__xludf.DUMMYFUNCTION("""COMPUTED_VALUE"""),"Mael")</f>
        <v>Mael</v>
      </c>
      <c r="E350" s="49" t="str">
        <f ca="1">IFERROR(__xludf.DUMMYFUNCTION("""COMPUTED_VALUE"""),"06670279")</f>
        <v>06670279</v>
      </c>
      <c r="F350" s="48" t="str">
        <f ca="1">IFERROR(__xludf.DUMMYFUNCTION("""COMPUTED_VALUE"""),"Etoile Pongiste de SCHLEITHAL ")</f>
        <v xml:space="preserve">Etoile Pongiste de SCHLEITHAL </v>
      </c>
      <c r="G350" s="50" t="str">
        <f ca="1">IFERROR(__xludf.DUMMYFUNCTION("""COMPUTED_VALUE"""),"CD67")</f>
        <v>CD67</v>
      </c>
      <c r="H350" s="50" t="str">
        <f ca="1">IFERROR(__xludf.DUMMYFUNCTION("""COMPUTED_VALUE"""),"actif")</f>
        <v>actif</v>
      </c>
    </row>
    <row r="351" spans="1:8" ht="12.75">
      <c r="A351" s="46">
        <f ca="1">IFERROR(__xludf.DUMMYFUNCTION("""COMPUTED_VALUE"""),339)</f>
        <v>339</v>
      </c>
      <c r="B351" s="65" t="str">
        <f ca="1">IFERROR(__xludf.DUMMYFUNCTION("""COMPUTED_VALUE"""),"6715984")</f>
        <v>6715984</v>
      </c>
      <c r="C351" s="48" t="str">
        <f ca="1">IFERROR(__xludf.DUMMYFUNCTION("""COMPUTED_VALUE"""),"LE MEUTH")</f>
        <v>LE MEUTH</v>
      </c>
      <c r="D351" s="48" t="str">
        <f ca="1">IFERROR(__xludf.DUMMYFUNCTION("""COMPUTED_VALUE"""),"Germaine")</f>
        <v>Germaine</v>
      </c>
      <c r="E351" s="49" t="str">
        <f ca="1">IFERROR(__xludf.DUMMYFUNCTION("""COMPUTED_VALUE"""),"06670279")</f>
        <v>06670279</v>
      </c>
      <c r="F351" s="48" t="str">
        <f ca="1">IFERROR(__xludf.DUMMYFUNCTION("""COMPUTED_VALUE"""),"Etoile Pongiste de SCHLEITHAL ")</f>
        <v xml:space="preserve">Etoile Pongiste de SCHLEITHAL </v>
      </c>
      <c r="G351" s="50" t="str">
        <f ca="1">IFERROR(__xludf.DUMMYFUNCTION("""COMPUTED_VALUE"""),"CD67")</f>
        <v>CD67</v>
      </c>
      <c r="H351" s="50" t="str">
        <f ca="1">IFERROR(__xludf.DUMMYFUNCTION("""COMPUTED_VALUE"""),"actif")</f>
        <v>actif</v>
      </c>
    </row>
    <row r="352" spans="1:8" ht="12.75">
      <c r="A352" s="46">
        <f ca="1">IFERROR(__xludf.DUMMYFUNCTION("""COMPUTED_VALUE"""),340)</f>
        <v>340</v>
      </c>
      <c r="B352" s="65" t="str">
        <f ca="1">IFERROR(__xludf.DUMMYFUNCTION("""COMPUTED_VALUE"""),"083496")</f>
        <v>083496</v>
      </c>
      <c r="C352" s="48" t="str">
        <f ca="1">IFERROR(__xludf.DUMMYFUNCTION("""COMPUTED_VALUE"""),"LECLERC")</f>
        <v>LECLERC</v>
      </c>
      <c r="D352" s="48" t="str">
        <f ca="1">IFERROR(__xludf.DUMMYFUNCTION("""COMPUTED_VALUE"""),"Thierry")</f>
        <v>Thierry</v>
      </c>
      <c r="E352" s="49" t="str">
        <f ca="1">IFERROR(__xludf.DUMMYFUNCTION("""COMPUTED_VALUE"""),"06080013")</f>
        <v>06080013</v>
      </c>
      <c r="F352" s="48" t="str">
        <f ca="1">IFERROR(__xludf.DUMMYFUNCTION("""COMPUTED_VALUE"""),"TAGNON PPC")</f>
        <v>TAGNON PPC</v>
      </c>
      <c r="G352" s="50" t="str">
        <f ca="1">IFERROR(__xludf.DUMMYFUNCTION("""COMPUTED_VALUE"""),"CD08")</f>
        <v>CD08</v>
      </c>
      <c r="H352" s="50" t="str">
        <f ca="1">IFERROR(__xludf.DUMMYFUNCTION("""COMPUTED_VALUE"""),"inactivité 3ème année")</f>
        <v>inactivité 3ème année</v>
      </c>
    </row>
    <row r="353" spans="1:8" ht="12.75">
      <c r="A353" s="46">
        <f ca="1">IFERROR(__xludf.DUMMYFUNCTION("""COMPUTED_VALUE"""),341)</f>
        <v>341</v>
      </c>
      <c r="B353" s="65" t="str">
        <f ca="1">IFERROR(__xludf.DUMMYFUNCTION("""COMPUTED_VALUE"""),"5115799")</f>
        <v>5115799</v>
      </c>
      <c r="C353" s="48" t="str">
        <f ca="1">IFERROR(__xludf.DUMMYFUNCTION("""COMPUTED_VALUE"""),"LECLERE-TSCHENS")</f>
        <v>LECLERE-TSCHENS</v>
      </c>
      <c r="D353" s="48" t="str">
        <f ca="1">IFERROR(__xludf.DUMMYFUNCTION("""COMPUTED_VALUE"""),"Karoline")</f>
        <v>Karoline</v>
      </c>
      <c r="E353" s="49" t="str">
        <f ca="1">IFERROR(__xludf.DUMMYFUNCTION("""COMPUTED_VALUE"""),"06510009")</f>
        <v>06510009</v>
      </c>
      <c r="F353" s="48" t="str">
        <f ca="1">IFERROR(__xludf.DUMMYFUNCTION("""COMPUTED_VALUE"""),"FISMES ARDRE VESLE US")</f>
        <v>FISMES ARDRE VESLE US</v>
      </c>
      <c r="G353" s="50" t="str">
        <f ca="1">IFERROR(__xludf.DUMMYFUNCTION("""COMPUTED_VALUE"""),"CD51")</f>
        <v>CD51</v>
      </c>
      <c r="H353" s="50" t="str">
        <f ca="1">IFERROR(__xludf.DUMMYFUNCTION("""COMPUTED_VALUE"""),"actif")</f>
        <v>actif</v>
      </c>
    </row>
    <row r="354" spans="1:8" ht="12.75">
      <c r="A354" s="46">
        <f ca="1">IFERROR(__xludf.DUMMYFUNCTION("""COMPUTED_VALUE"""),342)</f>
        <v>342</v>
      </c>
      <c r="B354" s="65" t="str">
        <f ca="1">IFERROR(__xludf.DUMMYFUNCTION("""COMPUTED_VALUE"""),"8816162")</f>
        <v>8816162</v>
      </c>
      <c r="C354" s="48" t="str">
        <f ca="1">IFERROR(__xludf.DUMMYFUNCTION("""COMPUTED_VALUE"""),"LECOMTE")</f>
        <v>LECOMTE</v>
      </c>
      <c r="D354" s="48" t="str">
        <f ca="1">IFERROR(__xludf.DUMMYFUNCTION("""COMPUTED_VALUE"""),"Louis")</f>
        <v>Louis</v>
      </c>
      <c r="E354" s="49" t="str">
        <f ca="1">IFERROR(__xludf.DUMMYFUNCTION("""COMPUTED_VALUE"""),"06880066")</f>
        <v>06880066</v>
      </c>
      <c r="F354" s="48" t="str">
        <f ca="1">IFERROR(__xludf.DUMMYFUNCTION("""COMPUTED_VALUE"""),"ELOYES C.L.L.T.T.")</f>
        <v>ELOYES C.L.L.T.T.</v>
      </c>
      <c r="G354" s="50" t="str">
        <f ca="1">IFERROR(__xludf.DUMMYFUNCTION("""COMPUTED_VALUE"""),"CD88")</f>
        <v>CD88</v>
      </c>
      <c r="H354" s="50" t="str">
        <f ca="1">IFERROR(__xludf.DUMMYFUNCTION("""COMPUTED_VALUE"""),"actif")</f>
        <v>actif</v>
      </c>
    </row>
    <row r="355" spans="1:8" ht="12.75">
      <c r="A355" s="46">
        <f ca="1">IFERROR(__xludf.DUMMYFUNCTION("""COMPUTED_VALUE"""),343)</f>
        <v>343</v>
      </c>
      <c r="B355" s="65" t="str">
        <f ca="1">IFERROR(__xludf.DUMMYFUNCTION("""COMPUTED_VALUE"""),"881965")</f>
        <v>881965</v>
      </c>
      <c r="C355" s="48" t="str">
        <f ca="1">IFERROR(__xludf.DUMMYFUNCTION("""COMPUTED_VALUE"""),"LECOURT")</f>
        <v>LECOURT</v>
      </c>
      <c r="D355" s="48" t="str">
        <f ca="1">IFERROR(__xludf.DUMMYFUNCTION("""COMPUTED_VALUE"""),"Nicolas")</f>
        <v>Nicolas</v>
      </c>
      <c r="E355" s="49" t="str">
        <f ca="1">IFERROR(__xludf.DUMMYFUNCTION("""COMPUTED_VALUE"""),"06880064")</f>
        <v>06880064</v>
      </c>
      <c r="F355" s="48" t="str">
        <f ca="1">IFERROR(__xludf.DUMMYFUNCTION("""COMPUTED_VALUE"""),"TT des Ballons des Hautes Vosges")</f>
        <v>TT des Ballons des Hautes Vosges</v>
      </c>
      <c r="G355" s="50" t="str">
        <f ca="1">IFERROR(__xludf.DUMMYFUNCTION("""COMPUTED_VALUE"""),"CD88")</f>
        <v>CD88</v>
      </c>
      <c r="H355" s="50" t="str">
        <f ca="1">IFERROR(__xludf.DUMMYFUNCTION("""COMPUTED_VALUE"""),"inactivité 3ème année")</f>
        <v>inactivité 3ème année</v>
      </c>
    </row>
    <row r="356" spans="1:8" ht="12.75">
      <c r="A356" s="46">
        <f ca="1">IFERROR(__xludf.DUMMYFUNCTION("""COMPUTED_VALUE"""),344)</f>
        <v>344</v>
      </c>
      <c r="B356" s="65" t="str">
        <f ca="1">IFERROR(__xludf.DUMMYFUNCTION("""COMPUTED_VALUE"""),"519366")</f>
        <v>519366</v>
      </c>
      <c r="C356" s="48" t="str">
        <f ca="1">IFERROR(__xludf.DUMMYFUNCTION("""COMPUTED_VALUE"""),"LECUYER")</f>
        <v>LECUYER</v>
      </c>
      <c r="D356" s="48" t="str">
        <f ca="1">IFERROR(__xludf.DUMMYFUNCTION("""COMPUTED_VALUE"""),"Cyprien")</f>
        <v>Cyprien</v>
      </c>
      <c r="E356" s="49" t="str">
        <f ca="1">IFERROR(__xludf.DUMMYFUNCTION("""COMPUTED_VALUE"""),"06510053")</f>
        <v>06510053</v>
      </c>
      <c r="F356" s="48" t="str">
        <f ca="1">IFERROR(__xludf.DUMMYFUNCTION("""COMPUTED_VALUE"""),"SEZANNE TENNIS DE TABLE")</f>
        <v>SEZANNE TENNIS DE TABLE</v>
      </c>
      <c r="G356" s="50" t="str">
        <f ca="1">IFERROR(__xludf.DUMMYFUNCTION("""COMPUTED_VALUE"""),"CD51")</f>
        <v>CD51</v>
      </c>
      <c r="H356" s="50" t="str">
        <f ca="1">IFERROR(__xludf.DUMMYFUNCTION("""COMPUTED_VALUE"""),"inactivité 1ère année")</f>
        <v>inactivité 1ère année</v>
      </c>
    </row>
    <row r="357" spans="1:8" ht="12.75">
      <c r="A357" s="46">
        <f ca="1">IFERROR(__xludf.DUMMYFUNCTION("""COMPUTED_VALUE"""),345)</f>
        <v>345</v>
      </c>
      <c r="B357" s="65" t="str">
        <f ca="1">IFERROR(__xludf.DUMMYFUNCTION("""COMPUTED_VALUE"""),"5114474")</f>
        <v>5114474</v>
      </c>
      <c r="C357" s="48" t="str">
        <f ca="1">IFERROR(__xludf.DUMMYFUNCTION("""COMPUTED_VALUE"""),"LEFEUVRE")</f>
        <v>LEFEUVRE</v>
      </c>
      <c r="D357" s="48" t="str">
        <f ca="1">IFERROR(__xludf.DUMMYFUNCTION("""COMPUTED_VALUE"""),"Emeric")</f>
        <v>Emeric</v>
      </c>
      <c r="E357" s="49" t="str">
        <f ca="1">IFERROR(__xludf.DUMMYFUNCTION("""COMPUTED_VALUE"""),"06510009")</f>
        <v>06510009</v>
      </c>
      <c r="F357" s="48" t="str">
        <f ca="1">IFERROR(__xludf.DUMMYFUNCTION("""COMPUTED_VALUE"""),"FISMES ARDRE VESLE US")</f>
        <v>FISMES ARDRE VESLE US</v>
      </c>
      <c r="G357" s="50" t="str">
        <f ca="1">IFERROR(__xludf.DUMMYFUNCTION("""COMPUTED_VALUE"""),"CD51")</f>
        <v>CD51</v>
      </c>
      <c r="H357" s="50" t="str">
        <f ca="1">IFERROR(__xludf.DUMMYFUNCTION("""COMPUTED_VALUE"""),"actif")</f>
        <v>actif</v>
      </c>
    </row>
    <row r="358" spans="1:8" ht="12.75">
      <c r="A358" s="46">
        <f ca="1">IFERROR(__xludf.DUMMYFUNCTION("""COMPUTED_VALUE"""),346)</f>
        <v>346</v>
      </c>
      <c r="B358" s="65" t="str">
        <f ca="1">IFERROR(__xludf.DUMMYFUNCTION("""COMPUTED_VALUE"""),"688163")</f>
        <v>688163</v>
      </c>
      <c r="C358" s="48" t="str">
        <f ca="1">IFERROR(__xludf.DUMMYFUNCTION("""COMPUTED_VALUE"""),"LEGRAND")</f>
        <v>LEGRAND</v>
      </c>
      <c r="D358" s="48" t="str">
        <f ca="1">IFERROR(__xludf.DUMMYFUNCTION("""COMPUTED_VALUE"""),"Edouard")</f>
        <v>Edouard</v>
      </c>
      <c r="E358" s="49" t="str">
        <f ca="1">IFERROR(__xludf.DUMMYFUNCTION("""COMPUTED_VALUE"""),"06680111")</f>
        <v>06680111</v>
      </c>
      <c r="F358" s="48" t="str">
        <f ca="1">IFERROR(__xludf.DUMMYFUNCTION("""COMPUTED_VALUE"""),"THANN TENNIS DE TABLE CLUB")</f>
        <v>THANN TENNIS DE TABLE CLUB</v>
      </c>
      <c r="G358" s="50" t="str">
        <f ca="1">IFERROR(__xludf.DUMMYFUNCTION("""COMPUTED_VALUE"""),"CD68")</f>
        <v>CD68</v>
      </c>
      <c r="H358" s="50" t="str">
        <f ca="1">IFERROR(__xludf.DUMMYFUNCTION("""COMPUTED_VALUE"""),"inactivité 1ère année")</f>
        <v>inactivité 1ère année</v>
      </c>
    </row>
    <row r="359" spans="1:8" ht="12.75">
      <c r="A359" s="46">
        <f ca="1">IFERROR(__xludf.DUMMYFUNCTION("""COMPUTED_VALUE"""),347)</f>
        <v>347</v>
      </c>
      <c r="B359" s="65" t="str">
        <f ca="1">IFERROR(__xludf.DUMMYFUNCTION("""COMPUTED_VALUE"""),"5113419")</f>
        <v>5113419</v>
      </c>
      <c r="C359" s="48" t="str">
        <f ca="1">IFERROR(__xludf.DUMMYFUNCTION("""COMPUTED_VALUE"""),"LEGRAND")</f>
        <v>LEGRAND</v>
      </c>
      <c r="D359" s="48" t="str">
        <f ca="1">IFERROR(__xludf.DUMMYFUNCTION("""COMPUTED_VALUE"""),"Eliot")</f>
        <v>Eliot</v>
      </c>
      <c r="E359" s="49" t="str">
        <f ca="1">IFERROR(__xludf.DUMMYFUNCTION("""COMPUTED_VALUE"""),"06510020")</f>
        <v>06510020</v>
      </c>
      <c r="F359" s="48" t="str">
        <f ca="1">IFERROR(__xludf.DUMMYFUNCTION("""COMPUTED_VALUE"""),"EPERNAY-PLIVOT PPC")</f>
        <v>EPERNAY-PLIVOT PPC</v>
      </c>
      <c r="G359" s="50" t="str">
        <f ca="1">IFERROR(__xludf.DUMMYFUNCTION("""COMPUTED_VALUE"""),"CD51")</f>
        <v>CD51</v>
      </c>
      <c r="H359" s="50" t="str">
        <f ca="1">IFERROR(__xludf.DUMMYFUNCTION("""COMPUTED_VALUE"""),"inactivité 1ère année")</f>
        <v>inactivité 1ère année</v>
      </c>
    </row>
    <row r="360" spans="1:8" ht="12.75">
      <c r="A360" s="46">
        <f ca="1">IFERROR(__xludf.DUMMYFUNCTION("""COMPUTED_VALUE"""),348)</f>
        <v>348</v>
      </c>
      <c r="B360" s="65" t="str">
        <f ca="1">IFERROR(__xludf.DUMMYFUNCTION("""COMPUTED_VALUE"""),"5113762")</f>
        <v>5113762</v>
      </c>
      <c r="C360" s="48" t="str">
        <f ca="1">IFERROR(__xludf.DUMMYFUNCTION("""COMPUTED_VALUE"""),"LEGRAND")</f>
        <v>LEGRAND</v>
      </c>
      <c r="D360" s="48" t="str">
        <f ca="1">IFERROR(__xludf.DUMMYFUNCTION("""COMPUTED_VALUE"""),"Eric")</f>
        <v>Eric</v>
      </c>
      <c r="E360" s="49" t="str">
        <f ca="1">IFERROR(__xludf.DUMMYFUNCTION("""COMPUTED_VALUE"""),"06510020")</f>
        <v>06510020</v>
      </c>
      <c r="F360" s="48" t="str">
        <f ca="1">IFERROR(__xludf.DUMMYFUNCTION("""COMPUTED_VALUE"""),"EPERNAY-PLIVOT PPC")</f>
        <v>EPERNAY-PLIVOT PPC</v>
      </c>
      <c r="G360" s="50" t="str">
        <f ca="1">IFERROR(__xludf.DUMMYFUNCTION("""COMPUTED_VALUE"""),"CD51")</f>
        <v>CD51</v>
      </c>
      <c r="H360" s="50" t="str">
        <f ca="1">IFERROR(__xludf.DUMMYFUNCTION("""COMPUTED_VALUE"""),"inactivité 1ère année")</f>
        <v>inactivité 1ère année</v>
      </c>
    </row>
    <row r="361" spans="1:8" ht="12.75">
      <c r="A361" s="46">
        <f ca="1">IFERROR(__xludf.DUMMYFUNCTION("""COMPUTED_VALUE"""),349)</f>
        <v>349</v>
      </c>
      <c r="B361" s="65" t="str">
        <f ca="1">IFERROR(__xludf.DUMMYFUNCTION("""COMPUTED_VALUE"""),"5110421")</f>
        <v>5110421</v>
      </c>
      <c r="C361" s="48" t="str">
        <f ca="1">IFERROR(__xludf.DUMMYFUNCTION("""COMPUTED_VALUE"""),"LEGRY")</f>
        <v>LEGRY</v>
      </c>
      <c r="D361" s="48" t="str">
        <f ca="1">IFERROR(__xludf.DUMMYFUNCTION("""COMPUTED_VALUE"""),"Clemence")</f>
        <v>Clemence</v>
      </c>
      <c r="E361" s="49" t="str">
        <f ca="1">IFERROR(__xludf.DUMMYFUNCTION("""COMPUTED_VALUE"""),"06570005")</f>
        <v>06570005</v>
      </c>
      <c r="F361" s="48" t="str">
        <f ca="1">IFERROR(__xludf.DUMMYFUNCTION("""COMPUTED_VALUE"""),"FAULQUEMONT E.S.C.")</f>
        <v>FAULQUEMONT E.S.C.</v>
      </c>
      <c r="G361" s="50" t="str">
        <f ca="1">IFERROR(__xludf.DUMMYFUNCTION("""COMPUTED_VALUE"""),"CD57")</f>
        <v>CD57</v>
      </c>
      <c r="H361" s="50" t="str">
        <f ca="1">IFERROR(__xludf.DUMMYFUNCTION("""COMPUTED_VALUE"""),"actif")</f>
        <v>actif</v>
      </c>
    </row>
    <row r="362" spans="1:8" ht="12.75">
      <c r="A362" s="46">
        <f ca="1">IFERROR(__xludf.DUMMYFUNCTION("""COMPUTED_VALUE"""),350)</f>
        <v>350</v>
      </c>
      <c r="B362" s="65" t="str">
        <f ca="1">IFERROR(__xludf.DUMMYFUNCTION("""COMPUTED_VALUE"""),"6731232")</f>
        <v>6731232</v>
      </c>
      <c r="C362" s="48" t="str">
        <f ca="1">IFERROR(__xludf.DUMMYFUNCTION("""COMPUTED_VALUE"""),"LEGUIL")</f>
        <v>LEGUIL</v>
      </c>
      <c r="D362" s="48" t="str">
        <f ca="1">IFERROR(__xludf.DUMMYFUNCTION("""COMPUTED_VALUE"""),"Cédric")</f>
        <v>Cédric</v>
      </c>
      <c r="E362" s="49" t="str">
        <f ca="1">IFERROR(__xludf.DUMMYFUNCTION("""COMPUTED_VALUE"""),"06670122")</f>
        <v>06670122</v>
      </c>
      <c r="F362" s="48" t="str">
        <f ca="1">IFERROR(__xludf.DUMMYFUNCTION("""COMPUTED_VALUE"""),"OBERNAI CA")</f>
        <v>OBERNAI CA</v>
      </c>
      <c r="G362" s="50" t="str">
        <f ca="1">IFERROR(__xludf.DUMMYFUNCTION("""COMPUTED_VALUE"""),"CD67")</f>
        <v>CD67</v>
      </c>
      <c r="H362" s="50" t="str">
        <f ca="1">IFERROR(__xludf.DUMMYFUNCTION("""COMPUTED_VALUE"""),"actif")</f>
        <v>actif</v>
      </c>
    </row>
    <row r="363" spans="1:8" ht="12.75">
      <c r="A363" s="46">
        <f ca="1">IFERROR(__xludf.DUMMYFUNCTION("""COMPUTED_VALUE"""),351)</f>
        <v>351</v>
      </c>
      <c r="B363" s="65" t="str">
        <f ca="1">IFERROR(__xludf.DUMMYFUNCTION("""COMPUTED_VALUE"""),"6733062")</f>
        <v>6733062</v>
      </c>
      <c r="C363" s="48" t="str">
        <f ca="1">IFERROR(__xludf.DUMMYFUNCTION("""COMPUTED_VALUE"""),"LEGUIL")</f>
        <v>LEGUIL</v>
      </c>
      <c r="D363" s="48" t="str">
        <f ca="1">IFERROR(__xludf.DUMMYFUNCTION("""COMPUTED_VALUE"""),"Aurélie")</f>
        <v>Aurélie</v>
      </c>
      <c r="E363" s="49" t="str">
        <f ca="1">IFERROR(__xludf.DUMMYFUNCTION("""COMPUTED_VALUE"""),"06670122")</f>
        <v>06670122</v>
      </c>
      <c r="F363" s="48" t="str">
        <f ca="1">IFERROR(__xludf.DUMMYFUNCTION("""COMPUTED_VALUE"""),"OBERNAI CA")</f>
        <v>OBERNAI CA</v>
      </c>
      <c r="G363" s="50" t="str">
        <f ca="1">IFERROR(__xludf.DUMMYFUNCTION("""COMPUTED_VALUE"""),"CD67")</f>
        <v>CD67</v>
      </c>
      <c r="H363" s="50" t="str">
        <f ca="1">IFERROR(__xludf.DUMMYFUNCTION("""COMPUTED_VALUE"""),"actif")</f>
        <v>actif</v>
      </c>
    </row>
    <row r="364" spans="1:8" ht="12.75">
      <c r="A364" s="46">
        <f ca="1">IFERROR(__xludf.DUMMYFUNCTION("""COMPUTED_VALUE"""),352)</f>
        <v>352</v>
      </c>
      <c r="B364" s="65" t="str">
        <f ca="1">IFERROR(__xludf.DUMMYFUNCTION("""COMPUTED_VALUE"""),"6715254")</f>
        <v>6715254</v>
      </c>
      <c r="C364" s="48" t="str">
        <f ca="1">IFERROR(__xludf.DUMMYFUNCTION("""COMPUTED_VALUE"""),"LEHMANN")</f>
        <v>LEHMANN</v>
      </c>
      <c r="D364" s="48" t="str">
        <f ca="1">IFERROR(__xludf.DUMMYFUNCTION("""COMPUTED_VALUE"""),"Quentin")</f>
        <v>Quentin</v>
      </c>
      <c r="E364" s="49" t="str">
        <f ca="1">IFERROR(__xludf.DUMMYFUNCTION("""COMPUTED_VALUE"""),"06670221")</f>
        <v>06670221</v>
      </c>
      <c r="F364" s="48" t="str">
        <f ca="1">IFERROR(__xludf.DUMMYFUNCTION("""COMPUTED_VALUE"""),"BARR Tennis de Table")</f>
        <v>BARR Tennis de Table</v>
      </c>
      <c r="G364" s="50" t="str">
        <f ca="1">IFERROR(__xludf.DUMMYFUNCTION("""COMPUTED_VALUE"""),"CD67")</f>
        <v>CD67</v>
      </c>
      <c r="H364" s="50" t="str">
        <f ca="1">IFERROR(__xludf.DUMMYFUNCTION("""COMPUTED_VALUE"""),"inactivité 3ème année")</f>
        <v>inactivité 3ème année</v>
      </c>
    </row>
    <row r="365" spans="1:8" ht="12.75">
      <c r="A365" s="46">
        <f ca="1">IFERROR(__xludf.DUMMYFUNCTION("""COMPUTED_VALUE"""),353)</f>
        <v>353</v>
      </c>
      <c r="B365" s="65" t="str">
        <f ca="1">IFERROR(__xludf.DUMMYFUNCTION("""COMPUTED_VALUE"""),"5730180")</f>
        <v>5730180</v>
      </c>
      <c r="C365" s="48" t="str">
        <f ca="1">IFERROR(__xludf.DUMMYFUNCTION("""COMPUTED_VALUE"""),"LELEU")</f>
        <v>LELEU</v>
      </c>
      <c r="D365" s="48" t="str">
        <f ca="1">IFERROR(__xludf.DUMMYFUNCTION("""COMPUTED_VALUE"""),"Marie")</f>
        <v>Marie</v>
      </c>
      <c r="E365" s="49" t="str">
        <f ca="1">IFERROR(__xludf.DUMMYFUNCTION("""COMPUTED_VALUE"""),"06570070")</f>
        <v>06570070</v>
      </c>
      <c r="F365" s="48" t="str">
        <f ca="1">IFERROR(__xludf.DUMMYFUNCTION("""COMPUTED_VALUE"""),"AMNEVILLE Tennis de Table")</f>
        <v>AMNEVILLE Tennis de Table</v>
      </c>
      <c r="G365" s="50" t="str">
        <f ca="1">IFERROR(__xludf.DUMMYFUNCTION("""COMPUTED_VALUE"""),"CD57")</f>
        <v>CD57</v>
      </c>
      <c r="H365" s="50" t="str">
        <f ca="1">IFERROR(__xludf.DUMMYFUNCTION("""COMPUTED_VALUE"""),"actif")</f>
        <v>actif</v>
      </c>
    </row>
    <row r="366" spans="1:8" ht="12.75">
      <c r="A366" s="46">
        <f ca="1">IFERROR(__xludf.DUMMYFUNCTION("""COMPUTED_VALUE"""),354)</f>
        <v>354</v>
      </c>
      <c r="B366" s="65" t="str">
        <f ca="1">IFERROR(__xludf.DUMMYFUNCTION("""COMPUTED_VALUE"""),"5731231")</f>
        <v>5731231</v>
      </c>
      <c r="C366" s="48" t="str">
        <f ca="1">IFERROR(__xludf.DUMMYFUNCTION("""COMPUTED_VALUE"""),"LELEU")</f>
        <v>LELEU</v>
      </c>
      <c r="D366" s="48" t="str">
        <f ca="1">IFERROR(__xludf.DUMMYFUNCTION("""COMPUTED_VALUE"""),"Solene")</f>
        <v>Solene</v>
      </c>
      <c r="E366" s="49" t="str">
        <f ca="1">IFERROR(__xludf.DUMMYFUNCTION("""COMPUTED_VALUE"""),"06570070")</f>
        <v>06570070</v>
      </c>
      <c r="F366" s="48" t="str">
        <f ca="1">IFERROR(__xludf.DUMMYFUNCTION("""COMPUTED_VALUE"""),"AMNEVILLE Tennis de Table")</f>
        <v>AMNEVILLE Tennis de Table</v>
      </c>
      <c r="G366" s="50" t="str">
        <f ca="1">IFERROR(__xludf.DUMMYFUNCTION("""COMPUTED_VALUE"""),"CD57")</f>
        <v>CD57</v>
      </c>
      <c r="H366" s="50" t="str">
        <f ca="1">IFERROR(__xludf.DUMMYFUNCTION("""COMPUTED_VALUE"""),"actif")</f>
        <v>actif</v>
      </c>
    </row>
    <row r="367" spans="1:8" ht="12.75">
      <c r="A367" s="46">
        <f ca="1">IFERROR(__xludf.DUMMYFUNCTION("""COMPUTED_VALUE"""),355)</f>
        <v>355</v>
      </c>
      <c r="B367" s="65" t="str">
        <f ca="1">IFERROR(__xludf.DUMMYFUNCTION("""COMPUTED_VALUE"""),"8815345")</f>
        <v>8815345</v>
      </c>
      <c r="C367" s="48" t="str">
        <f ca="1">IFERROR(__xludf.DUMMYFUNCTION("""COMPUTED_VALUE"""),"LEMOINE")</f>
        <v>LEMOINE</v>
      </c>
      <c r="D367" s="48" t="str">
        <f ca="1">IFERROR(__xludf.DUMMYFUNCTION("""COMPUTED_VALUE"""),"Philippe")</f>
        <v>Philippe</v>
      </c>
      <c r="E367" s="49" t="str">
        <f ca="1">IFERROR(__xludf.DUMMYFUNCTION("""COMPUTED_VALUE"""),"06880049")</f>
        <v>06880049</v>
      </c>
      <c r="F367" s="48" t="str">
        <f ca="1">IFERROR(__xludf.DUMMYFUNCTION("""COMPUTED_VALUE"""),"MIRECOURT Lift Club")</f>
        <v>MIRECOURT Lift Club</v>
      </c>
      <c r="G367" s="50" t="str">
        <f ca="1">IFERROR(__xludf.DUMMYFUNCTION("""COMPUTED_VALUE"""),"CD88")</f>
        <v>CD88</v>
      </c>
      <c r="H367" s="50" t="str">
        <f ca="1">IFERROR(__xludf.DUMMYFUNCTION("""COMPUTED_VALUE"""),"inactivité 1ère année")</f>
        <v>inactivité 1ère année</v>
      </c>
    </row>
    <row r="368" spans="1:8" ht="12.75">
      <c r="A368" s="46">
        <f ca="1">IFERROR(__xludf.DUMMYFUNCTION("""COMPUTED_VALUE"""),356)</f>
        <v>356</v>
      </c>
      <c r="B368" s="65" t="str">
        <f ca="1">IFERROR(__xludf.DUMMYFUNCTION("""COMPUTED_VALUE"""),"106690")</f>
        <v>106690</v>
      </c>
      <c r="C368" s="48" t="str">
        <f ca="1">IFERROR(__xludf.DUMMYFUNCTION("""COMPUTED_VALUE"""),"LENGLET")</f>
        <v>LENGLET</v>
      </c>
      <c r="D368" s="48" t="str">
        <f ca="1">IFERROR(__xludf.DUMMYFUNCTION("""COMPUTED_VALUE"""),"Pierre-Jean")</f>
        <v>Pierre-Jean</v>
      </c>
      <c r="E368" s="49" t="str">
        <f ca="1">IFERROR(__xludf.DUMMYFUNCTION("""COMPUTED_VALUE"""),"06100002")</f>
        <v>06100002</v>
      </c>
      <c r="F368" s="48" t="str">
        <f ca="1">IFERROR(__xludf.DUMMYFUNCTION("""COMPUTED_VALUE"""),"TROYES O.S - NOËS TT")</f>
        <v>TROYES O.S - NOËS TT</v>
      </c>
      <c r="G368" s="50" t="str">
        <f ca="1">IFERROR(__xludf.DUMMYFUNCTION("""COMPUTED_VALUE"""),"CD10")</f>
        <v>CD10</v>
      </c>
      <c r="H368" s="50" t="str">
        <f ca="1">IFERROR(__xludf.DUMMYFUNCTION("""COMPUTED_VALUE"""),"inactivité 2ème année")</f>
        <v>inactivité 2ème année</v>
      </c>
    </row>
    <row r="369" spans="1:8" ht="12.75">
      <c r="A369" s="46">
        <f ca="1">IFERROR(__xludf.DUMMYFUNCTION("""COMPUTED_VALUE"""),357)</f>
        <v>357</v>
      </c>
      <c r="B369" s="65" t="str">
        <f ca="1">IFERROR(__xludf.DUMMYFUNCTION("""COMPUTED_VALUE"""),"5714949")</f>
        <v>5714949</v>
      </c>
      <c r="C369" s="48" t="str">
        <f ca="1">IFERROR(__xludf.DUMMYFUNCTION("""COMPUTED_VALUE"""),"LEONARDI")</f>
        <v>LEONARDI</v>
      </c>
      <c r="D369" s="48" t="str">
        <f ca="1">IFERROR(__xludf.DUMMYFUNCTION("""COMPUTED_VALUE"""),"Yannick")</f>
        <v>Yannick</v>
      </c>
      <c r="E369" s="49" t="str">
        <f ca="1">IFERROR(__xludf.DUMMYFUNCTION("""COMPUTED_VALUE"""),"06540001")</f>
        <v>06540001</v>
      </c>
      <c r="F369" s="48" t="str">
        <f ca="1">IFERROR(__xludf.DUMMYFUNCTION("""COMPUTED_VALUE"""),"BLAINVILLE DAMELEVIERES AC")</f>
        <v>BLAINVILLE DAMELEVIERES AC</v>
      </c>
      <c r="G369" s="50" t="str">
        <f ca="1">IFERROR(__xludf.DUMMYFUNCTION("""COMPUTED_VALUE"""),"CD54")</f>
        <v>CD54</v>
      </c>
      <c r="H369" s="50" t="str">
        <f ca="1">IFERROR(__xludf.DUMMYFUNCTION("""COMPUTED_VALUE"""),"actif")</f>
        <v>actif</v>
      </c>
    </row>
    <row r="370" spans="1:8" ht="12.75">
      <c r="A370" s="46">
        <f ca="1">IFERROR(__xludf.DUMMYFUNCTION("""COMPUTED_VALUE"""),358)</f>
        <v>358</v>
      </c>
      <c r="B370" s="65" t="str">
        <f ca="1">IFERROR(__xludf.DUMMYFUNCTION("""COMPUTED_VALUE"""),"5417994")</f>
        <v>5417994</v>
      </c>
      <c r="C370" s="48" t="str">
        <f ca="1">IFERROR(__xludf.DUMMYFUNCTION("""COMPUTED_VALUE"""),"LEONI")</f>
        <v>LEONI</v>
      </c>
      <c r="D370" s="48" t="str">
        <f ca="1">IFERROR(__xludf.DUMMYFUNCTION("""COMPUTED_VALUE"""),"Philippe")</f>
        <v>Philippe</v>
      </c>
      <c r="E370" s="49" t="str">
        <f ca="1">IFERROR(__xludf.DUMMYFUNCTION("""COMPUTED_VALUE"""),"06540104")</f>
        <v>06540104</v>
      </c>
      <c r="F370" s="48" t="str">
        <f ca="1">IFERROR(__xludf.DUMMYFUNCTION("""COMPUTED_VALUE"""),"AUDUN LE ROMAN ASTT")</f>
        <v>AUDUN LE ROMAN ASTT</v>
      </c>
      <c r="G370" s="50" t="str">
        <f ca="1">IFERROR(__xludf.DUMMYFUNCTION("""COMPUTED_VALUE"""),"CD54")</f>
        <v>CD54</v>
      </c>
      <c r="H370" s="50" t="str">
        <f ca="1">IFERROR(__xludf.DUMMYFUNCTION("""COMPUTED_VALUE"""),"actif")</f>
        <v>actif</v>
      </c>
    </row>
    <row r="371" spans="1:8" ht="12.75">
      <c r="A371" s="46">
        <f ca="1">IFERROR(__xludf.DUMMYFUNCTION("""COMPUTED_VALUE"""),359)</f>
        <v>359</v>
      </c>
      <c r="B371" s="65" t="str">
        <f ca="1">IFERROR(__xludf.DUMMYFUNCTION("""COMPUTED_VALUE"""),"519334")</f>
        <v>519334</v>
      </c>
      <c r="C371" s="48" t="str">
        <f ca="1">IFERROR(__xludf.DUMMYFUNCTION("""COMPUTED_VALUE"""),"LEPIN")</f>
        <v>LEPIN</v>
      </c>
      <c r="D371" s="48" t="str">
        <f ca="1">IFERROR(__xludf.DUMMYFUNCTION("""COMPUTED_VALUE"""),"Marc")</f>
        <v>Marc</v>
      </c>
      <c r="E371" s="49" t="str">
        <f ca="1">IFERROR(__xludf.DUMMYFUNCTION("""COMPUTED_VALUE"""),"06510107")</f>
        <v>06510107</v>
      </c>
      <c r="F371" s="48" t="str">
        <f ca="1">IFERROR(__xludf.DUMMYFUNCTION("""COMPUTED_VALUE"""),"GUEUX TINQUEUX ASTT")</f>
        <v>GUEUX TINQUEUX ASTT</v>
      </c>
      <c r="G371" s="50" t="str">
        <f ca="1">IFERROR(__xludf.DUMMYFUNCTION("""COMPUTED_VALUE"""),"CD51")</f>
        <v>CD51</v>
      </c>
      <c r="H371" s="50" t="str">
        <f ca="1">IFERROR(__xludf.DUMMYFUNCTION("""COMPUTED_VALUE"""),"actif")</f>
        <v>actif</v>
      </c>
    </row>
    <row r="372" spans="1:8" ht="12.75">
      <c r="A372" s="46">
        <f ca="1">IFERROR(__xludf.DUMMYFUNCTION("""COMPUTED_VALUE"""),360)</f>
        <v>360</v>
      </c>
      <c r="B372" s="65" t="str">
        <f ca="1">IFERROR(__xludf.DUMMYFUNCTION("""COMPUTED_VALUE"""),"551047")</f>
        <v>551047</v>
      </c>
      <c r="C372" s="48" t="str">
        <f ca="1">IFERROR(__xludf.DUMMYFUNCTION("""COMPUTED_VALUE"""),"LEPORCQ")</f>
        <v>LEPORCQ</v>
      </c>
      <c r="D372" s="48" t="str">
        <f ca="1">IFERROR(__xludf.DUMMYFUNCTION("""COMPUTED_VALUE"""),"Frederic")</f>
        <v>Frederic</v>
      </c>
      <c r="E372" s="49" t="str">
        <f ca="1">IFERROR(__xludf.DUMMYFUNCTION("""COMPUTED_VALUE"""),"06570015")</f>
        <v>06570015</v>
      </c>
      <c r="F372" s="48" t="str">
        <f ca="1">IFERROR(__xludf.DUMMYFUNCTION("""COMPUTED_VALUE"""),"MONTIGNY LES METZ T.T.")</f>
        <v>MONTIGNY LES METZ T.T.</v>
      </c>
      <c r="G372" s="50" t="str">
        <f ca="1">IFERROR(__xludf.DUMMYFUNCTION("""COMPUTED_VALUE"""),"CD57")</f>
        <v>CD57</v>
      </c>
      <c r="H372" s="50" t="str">
        <f ca="1">IFERROR(__xludf.DUMMYFUNCTION("""COMPUTED_VALUE"""),"inactivité 2ème année")</f>
        <v>inactivité 2ème année</v>
      </c>
    </row>
    <row r="373" spans="1:8" ht="12.75">
      <c r="A373" s="46">
        <f ca="1">IFERROR(__xludf.DUMMYFUNCTION("""COMPUTED_VALUE"""),361)</f>
        <v>361</v>
      </c>
      <c r="B373" s="65" t="str">
        <f ca="1">IFERROR(__xludf.DUMMYFUNCTION("""COMPUTED_VALUE"""),"6714387")</f>
        <v>6714387</v>
      </c>
      <c r="C373" s="48" t="str">
        <f ca="1">IFERROR(__xludf.DUMMYFUNCTION("""COMPUTED_VALUE"""),"LERCH")</f>
        <v>LERCH</v>
      </c>
      <c r="D373" s="48" t="str">
        <f ca="1">IFERROR(__xludf.DUMMYFUNCTION("""COMPUTED_VALUE"""),"Christophe")</f>
        <v>Christophe</v>
      </c>
      <c r="E373" s="49" t="str">
        <f ca="1">IFERROR(__xludf.DUMMYFUNCTION("""COMPUTED_VALUE"""),"06670248")</f>
        <v>06670248</v>
      </c>
      <c r="F373" s="48" t="str">
        <f ca="1">IFERROR(__xludf.DUMMYFUNCTION("""COMPUTED_VALUE"""),"MARMOUTIER CSE")</f>
        <v>MARMOUTIER CSE</v>
      </c>
      <c r="G373" s="50" t="str">
        <f ca="1">IFERROR(__xludf.DUMMYFUNCTION("""COMPUTED_VALUE"""),"CD67")</f>
        <v>CD67</v>
      </c>
      <c r="H373" s="50" t="str">
        <f ca="1">IFERROR(__xludf.DUMMYFUNCTION("""COMPUTED_VALUE"""),"inactivité 3ème année")</f>
        <v>inactivité 3ème année</v>
      </c>
    </row>
    <row r="374" spans="1:8" ht="12.75">
      <c r="A374" s="46">
        <f ca="1">IFERROR(__xludf.DUMMYFUNCTION("""COMPUTED_VALUE"""),362)</f>
        <v>362</v>
      </c>
      <c r="B374" s="65" t="str">
        <f ca="1">IFERROR(__xludf.DUMMYFUNCTION("""COMPUTED_VALUE"""),"516245")</f>
        <v>516245</v>
      </c>
      <c r="C374" s="48" t="str">
        <f ca="1">IFERROR(__xludf.DUMMYFUNCTION("""COMPUTED_VALUE"""),"LESTIENNE")</f>
        <v>LESTIENNE</v>
      </c>
      <c r="D374" s="48" t="str">
        <f ca="1">IFERROR(__xludf.DUMMYFUNCTION("""COMPUTED_VALUE"""),"Charlene")</f>
        <v>Charlene</v>
      </c>
      <c r="E374" s="49" t="str">
        <f ca="1">IFERROR(__xludf.DUMMYFUNCTION("""COMPUTED_VALUE"""),"06570190")</f>
        <v>06570190</v>
      </c>
      <c r="F374" s="48" t="str">
        <f ca="1">IFERROR(__xludf.DUMMYFUNCTION("""COMPUTED_VALUE"""),"METZ Tennis de Table")</f>
        <v>METZ Tennis de Table</v>
      </c>
      <c r="G374" s="50" t="str">
        <f ca="1">IFERROR(__xludf.DUMMYFUNCTION("""COMPUTED_VALUE"""),"CD57")</f>
        <v>CD57</v>
      </c>
      <c r="H374" s="50" t="str">
        <f ca="1">IFERROR(__xludf.DUMMYFUNCTION("""COMPUTED_VALUE"""),"inactivité 2ème année")</f>
        <v>inactivité 2ème année</v>
      </c>
    </row>
    <row r="375" spans="1:8" ht="12.75">
      <c r="A375" s="46">
        <f ca="1">IFERROR(__xludf.DUMMYFUNCTION("""COMPUTED_VALUE"""),363)</f>
        <v>363</v>
      </c>
      <c r="B375" s="65" t="str">
        <f ca="1">IFERROR(__xludf.DUMMYFUNCTION("""COMPUTED_VALUE"""),"558622")</f>
        <v>558622</v>
      </c>
      <c r="C375" s="48" t="str">
        <f ca="1">IFERROR(__xludf.DUMMYFUNCTION("""COMPUTED_VALUE"""),"LHOTEL")</f>
        <v>LHOTEL</v>
      </c>
      <c r="D375" s="48" t="str">
        <f ca="1">IFERROR(__xludf.DUMMYFUNCTION("""COMPUTED_VALUE"""),"Celine")</f>
        <v>Celine</v>
      </c>
      <c r="E375" s="49" t="str">
        <f ca="1">IFERROR(__xludf.DUMMYFUNCTION("""COMPUTED_VALUE"""),"06550013")</f>
        <v>06550013</v>
      </c>
      <c r="F375" s="48" t="str">
        <f ca="1">IFERROR(__xludf.DUMMYFUNCTION("""COMPUTED_VALUE"""),"VERDUN S.A.V.T.T.")</f>
        <v>VERDUN S.A.V.T.T.</v>
      </c>
      <c r="G375" s="50" t="str">
        <f ca="1">IFERROR(__xludf.DUMMYFUNCTION("""COMPUTED_VALUE"""),"CD55")</f>
        <v>CD55</v>
      </c>
      <c r="H375" s="50" t="str">
        <f ca="1">IFERROR(__xludf.DUMMYFUNCTION("""COMPUTED_VALUE"""),"actif")</f>
        <v>actif</v>
      </c>
    </row>
    <row r="376" spans="1:8" ht="12.75">
      <c r="A376" s="46">
        <f ca="1">IFERROR(__xludf.DUMMYFUNCTION("""COMPUTED_VALUE"""),364)</f>
        <v>364</v>
      </c>
      <c r="B376" s="65" t="str">
        <f ca="1">IFERROR(__xludf.DUMMYFUNCTION("""COMPUTED_VALUE"""),"885431")</f>
        <v>885431</v>
      </c>
      <c r="C376" s="48" t="str">
        <f ca="1">IFERROR(__xludf.DUMMYFUNCTION("""COMPUTED_VALUE"""),"LHUILLIER")</f>
        <v>LHUILLIER</v>
      </c>
      <c r="D376" s="48" t="str">
        <f ca="1">IFERROR(__xludf.DUMMYFUNCTION("""COMPUTED_VALUE"""),"Vincent")</f>
        <v>Vincent</v>
      </c>
      <c r="E376" s="49" t="str">
        <f ca="1">IFERROR(__xludf.DUMMYFUNCTION("""COMPUTED_VALUE"""),"06540056")</f>
        <v>06540056</v>
      </c>
      <c r="F376" s="48" t="str">
        <f ca="1">IFERROR(__xludf.DUMMYFUNCTION("""COMPUTED_VALUE"""),"HEILLECOURT LOISIRS RENCON")</f>
        <v>HEILLECOURT LOISIRS RENCON</v>
      </c>
      <c r="G376" s="50" t="str">
        <f ca="1">IFERROR(__xludf.DUMMYFUNCTION("""COMPUTED_VALUE"""),"CD54")</f>
        <v>CD54</v>
      </c>
      <c r="H376" s="50" t="str">
        <f ca="1">IFERROR(__xludf.DUMMYFUNCTION("""COMPUTED_VALUE"""),"inactivité 2ème année")</f>
        <v>inactivité 2ème année</v>
      </c>
    </row>
    <row r="377" spans="1:8" ht="12.75">
      <c r="A377" s="46">
        <f ca="1">IFERROR(__xludf.DUMMYFUNCTION("""COMPUTED_VALUE"""),365)</f>
        <v>365</v>
      </c>
      <c r="B377" s="65" t="str">
        <f ca="1">IFERROR(__xludf.DUMMYFUNCTION("""COMPUTED_VALUE"""),"546623")</f>
        <v>546623</v>
      </c>
      <c r="C377" s="48" t="str">
        <f ca="1">IFERROR(__xludf.DUMMYFUNCTION("""COMPUTED_VALUE"""),"LICHON")</f>
        <v>LICHON</v>
      </c>
      <c r="D377" s="48" t="str">
        <f ca="1">IFERROR(__xludf.DUMMYFUNCTION("""COMPUTED_VALUE"""),"Stephane")</f>
        <v>Stephane</v>
      </c>
      <c r="E377" s="49" t="str">
        <f ca="1">IFERROR(__xludf.DUMMYFUNCTION("""COMPUTED_VALUE"""),"06540104")</f>
        <v>06540104</v>
      </c>
      <c r="F377" s="48" t="str">
        <f ca="1">IFERROR(__xludf.DUMMYFUNCTION("""COMPUTED_VALUE"""),"AUDUN LE ROMAN ASTT")</f>
        <v>AUDUN LE ROMAN ASTT</v>
      </c>
      <c r="G377" s="50" t="str">
        <f ca="1">IFERROR(__xludf.DUMMYFUNCTION("""COMPUTED_VALUE"""),"CD54")</f>
        <v>CD54</v>
      </c>
      <c r="H377" s="50" t="str">
        <f ca="1">IFERROR(__xludf.DUMMYFUNCTION("""COMPUTED_VALUE"""),"actif")</f>
        <v>actif</v>
      </c>
    </row>
    <row r="378" spans="1:8" ht="12.75">
      <c r="A378" s="46">
        <f ca="1">IFERROR(__xludf.DUMMYFUNCTION("""COMPUTED_VALUE"""),366)</f>
        <v>366</v>
      </c>
      <c r="B378" s="65" t="str">
        <f ca="1">IFERROR(__xludf.DUMMYFUNCTION("""COMPUTED_VALUE"""),"10105")</f>
        <v>10105</v>
      </c>
      <c r="C378" s="48" t="str">
        <f ca="1">IFERROR(__xludf.DUMMYFUNCTION("""COMPUTED_VALUE"""),"LIEBON")</f>
        <v>LIEBON</v>
      </c>
      <c r="D378" s="48" t="str">
        <f ca="1">IFERROR(__xludf.DUMMYFUNCTION("""COMPUTED_VALUE"""),"Jean-Claude")</f>
        <v>Jean-Claude</v>
      </c>
      <c r="E378" s="49" t="str">
        <f ca="1">IFERROR(__xludf.DUMMYFUNCTION("""COMPUTED_VALUE"""),"06100016")</f>
        <v>06100016</v>
      </c>
      <c r="F378" s="48" t="str">
        <f ca="1">IFERROR(__xludf.DUMMYFUNCTION("""COMPUTED_VALUE"""),"BAR SUR SEINE FJ")</f>
        <v>BAR SUR SEINE FJ</v>
      </c>
      <c r="G378" s="50" t="str">
        <f ca="1">IFERROR(__xludf.DUMMYFUNCTION("""COMPUTED_VALUE"""),"CD10")</f>
        <v>CD10</v>
      </c>
      <c r="H378" s="50" t="str">
        <f ca="1">IFERROR(__xludf.DUMMYFUNCTION("""COMPUTED_VALUE"""),"actif")</f>
        <v>actif</v>
      </c>
    </row>
    <row r="379" spans="1:8" ht="12.75">
      <c r="A379" s="46">
        <f ca="1">IFERROR(__xludf.DUMMYFUNCTION("""COMPUTED_VALUE"""),367)</f>
        <v>367</v>
      </c>
      <c r="B379" s="65" t="str">
        <f ca="1">IFERROR(__xludf.DUMMYFUNCTION("""COMPUTED_VALUE"""),"52138")</f>
        <v>52138</v>
      </c>
      <c r="C379" s="48" t="str">
        <f ca="1">IFERROR(__xludf.DUMMYFUNCTION("""COMPUTED_VALUE"""),"LIEGEY")</f>
        <v>LIEGEY</v>
      </c>
      <c r="D379" s="48" t="str">
        <f ca="1">IFERROR(__xludf.DUMMYFUNCTION("""COMPUTED_VALUE"""),"Michel")</f>
        <v>Michel</v>
      </c>
      <c r="E379" s="49" t="str">
        <f ca="1">IFERROR(__xludf.DUMMYFUNCTION("""COMPUTED_VALUE"""),"06520004")</f>
        <v>06520004</v>
      </c>
      <c r="F379" s="48" t="str">
        <f ca="1">IFERROR(__xludf.DUMMYFUNCTION("""COMPUTED_VALUE"""),"CHANCENAY-SLO TT")</f>
        <v>CHANCENAY-SLO TT</v>
      </c>
      <c r="G379" s="50" t="str">
        <f ca="1">IFERROR(__xludf.DUMMYFUNCTION("""COMPUTED_VALUE"""),"CD52")</f>
        <v>CD52</v>
      </c>
      <c r="H379" s="50" t="str">
        <f ca="1">IFERROR(__xludf.DUMMYFUNCTION("""COMPUTED_VALUE"""),"inactivité 1ère année")</f>
        <v>inactivité 1ère année</v>
      </c>
    </row>
    <row r="380" spans="1:8" ht="12.75">
      <c r="A380" s="46">
        <f ca="1">IFERROR(__xludf.DUMMYFUNCTION("""COMPUTED_VALUE"""),368)</f>
        <v>368</v>
      </c>
      <c r="B380" s="65" t="str">
        <f ca="1">IFERROR(__xludf.DUMMYFUNCTION("""COMPUTED_VALUE"""),"6729893")</f>
        <v>6729893</v>
      </c>
      <c r="C380" s="48" t="str">
        <f ca="1">IFERROR(__xludf.DUMMYFUNCTION("""COMPUTED_VALUE"""),"LITT")</f>
        <v>LITT</v>
      </c>
      <c r="D380" s="48" t="str">
        <f ca="1">IFERROR(__xludf.DUMMYFUNCTION("""COMPUTED_VALUE"""),"Yannick")</f>
        <v>Yannick</v>
      </c>
      <c r="E380" s="49" t="str">
        <f ca="1">IFERROR(__xludf.DUMMYFUNCTION("""COMPUTED_VALUE"""),"06670201")</f>
        <v>06670201</v>
      </c>
      <c r="F380" s="48" t="str">
        <f ca="1">IFERROR(__xludf.DUMMYFUNCTION("""COMPUTED_VALUE"""),"ESCHAU CTT")</f>
        <v>ESCHAU CTT</v>
      </c>
      <c r="G380" s="50" t="str">
        <f ca="1">IFERROR(__xludf.DUMMYFUNCTION("""COMPUTED_VALUE"""),"CD67")</f>
        <v>CD67</v>
      </c>
      <c r="H380" s="50" t="str">
        <f ca="1">IFERROR(__xludf.DUMMYFUNCTION("""COMPUTED_VALUE"""),"actif")</f>
        <v>actif</v>
      </c>
    </row>
    <row r="381" spans="1:8" ht="12.75">
      <c r="A381" s="46">
        <f ca="1">IFERROR(__xludf.DUMMYFUNCTION("""COMPUTED_VALUE"""),369)</f>
        <v>369</v>
      </c>
      <c r="B381" s="65" t="str">
        <f ca="1">IFERROR(__xludf.DUMMYFUNCTION("""COMPUTED_VALUE"""),"106207")</f>
        <v>106207</v>
      </c>
      <c r="C381" s="48" t="str">
        <f ca="1">IFERROR(__xludf.DUMMYFUNCTION("""COMPUTED_VALUE"""),"LOCHEY")</f>
        <v>LOCHEY</v>
      </c>
      <c r="D381" s="48" t="str">
        <f ca="1">IFERROR(__xludf.DUMMYFUNCTION("""COMPUTED_VALUE"""),"Florian")</f>
        <v>Florian</v>
      </c>
      <c r="E381" s="49" t="str">
        <f ca="1">IFERROR(__xludf.DUMMYFUNCTION("""COMPUTED_VALUE"""),"06100016")</f>
        <v>06100016</v>
      </c>
      <c r="F381" s="48" t="str">
        <f ca="1">IFERROR(__xludf.DUMMYFUNCTION("""COMPUTED_VALUE"""),"BAR SUR SEINE FJ")</f>
        <v>BAR SUR SEINE FJ</v>
      </c>
      <c r="G381" s="50" t="str">
        <f ca="1">IFERROR(__xludf.DUMMYFUNCTION("""COMPUTED_VALUE"""),"CD10")</f>
        <v>CD10</v>
      </c>
      <c r="H381" s="50" t="str">
        <f ca="1">IFERROR(__xludf.DUMMYFUNCTION("""COMPUTED_VALUE"""),"inactivité 2ème année")</f>
        <v>inactivité 2ème année</v>
      </c>
    </row>
    <row r="382" spans="1:8" ht="12.75">
      <c r="A382" s="46">
        <f ca="1">IFERROR(__xludf.DUMMYFUNCTION("""COMPUTED_VALUE"""),370)</f>
        <v>370</v>
      </c>
      <c r="B382" s="65" t="str">
        <f ca="1">IFERROR(__xludf.DUMMYFUNCTION("""COMPUTED_VALUE"""),"674615")</f>
        <v>674615</v>
      </c>
      <c r="C382" s="48" t="str">
        <f ca="1">IFERROR(__xludf.DUMMYFUNCTION("""COMPUTED_VALUE"""),"LOEB")</f>
        <v>LOEB</v>
      </c>
      <c r="D382" s="48" t="str">
        <f ca="1">IFERROR(__xludf.DUMMYFUNCTION("""COMPUTED_VALUE"""),"Michael")</f>
        <v>Michael</v>
      </c>
      <c r="E382" s="49" t="str">
        <f ca="1">IFERROR(__xludf.DUMMYFUNCTION("""COMPUTED_VALUE"""),"06670160")</f>
        <v>06670160</v>
      </c>
      <c r="F382" s="48" t="str">
        <f ca="1">IFERROR(__xludf.DUMMYFUNCTION("""COMPUTED_VALUE"""),"T.T.Haguenau Wissembourg")</f>
        <v>T.T.Haguenau Wissembourg</v>
      </c>
      <c r="G382" s="50" t="str">
        <f ca="1">IFERROR(__xludf.DUMMYFUNCTION("""COMPUTED_VALUE"""),"CD67")</f>
        <v>CD67</v>
      </c>
      <c r="H382" s="50" t="str">
        <f ca="1">IFERROR(__xludf.DUMMYFUNCTION("""COMPUTED_VALUE"""),"actif")</f>
        <v>actif</v>
      </c>
    </row>
    <row r="383" spans="1:8" ht="12.75">
      <c r="A383" s="46">
        <f ca="1">IFERROR(__xludf.DUMMYFUNCTION("""COMPUTED_VALUE"""),371)</f>
        <v>371</v>
      </c>
      <c r="B383" s="65" t="str">
        <f ca="1">IFERROR(__xludf.DUMMYFUNCTION("""COMPUTED_VALUE"""),"5727999")</f>
        <v>5727999</v>
      </c>
      <c r="C383" s="48" t="str">
        <f ca="1">IFERROR(__xludf.DUMMYFUNCTION("""COMPUTED_VALUE"""),"LONGATTE")</f>
        <v>LONGATTE</v>
      </c>
      <c r="D383" s="48" t="str">
        <f ca="1">IFERROR(__xludf.DUMMYFUNCTION("""COMPUTED_VALUE"""),"Aurelien")</f>
        <v>Aurelien</v>
      </c>
      <c r="E383" s="49" t="str">
        <f ca="1">IFERROR(__xludf.DUMMYFUNCTION("""COMPUTED_VALUE"""),"06570154")</f>
        <v>06570154</v>
      </c>
      <c r="F383" s="48" t="str">
        <f ca="1">IFERROR(__xludf.DUMMYFUNCTION("""COMPUTED_VALUE"""),"SAINT JEAN KOURTZERODE LJ")</f>
        <v>SAINT JEAN KOURTZERODE LJ</v>
      </c>
      <c r="G383" s="50" t="str">
        <f ca="1">IFERROR(__xludf.DUMMYFUNCTION("""COMPUTED_VALUE"""),"CD57")</f>
        <v>CD57</v>
      </c>
      <c r="H383" s="50" t="str">
        <f ca="1">IFERROR(__xludf.DUMMYFUNCTION("""COMPUTED_VALUE"""),"inactivité 3ème année")</f>
        <v>inactivité 3ème année</v>
      </c>
    </row>
    <row r="384" spans="1:8" ht="12.75">
      <c r="A384" s="46">
        <f ca="1">IFERROR(__xludf.DUMMYFUNCTION("""COMPUTED_VALUE"""),372)</f>
        <v>372</v>
      </c>
      <c r="B384" s="65" t="str">
        <f ca="1">IFERROR(__xludf.DUMMYFUNCTION("""COMPUTED_VALUE"""),"085181")</f>
        <v>085181</v>
      </c>
      <c r="C384" s="48" t="str">
        <f ca="1">IFERROR(__xludf.DUMMYFUNCTION("""COMPUTED_VALUE"""),"LONGCHAMP")</f>
        <v>LONGCHAMP</v>
      </c>
      <c r="D384" s="48" t="str">
        <f ca="1">IFERROR(__xludf.DUMMYFUNCTION("""COMPUTED_VALUE"""),"Bernard")</f>
        <v>Bernard</v>
      </c>
      <c r="E384" s="49" t="str">
        <f ca="1">IFERROR(__xludf.DUMMYFUNCTION("""COMPUTED_VALUE"""),"06080035")</f>
        <v>06080035</v>
      </c>
      <c r="F384" s="48" t="str">
        <f ca="1">IFERROR(__xludf.DUMMYFUNCTION("""COMPUTED_VALUE"""),"CHARLEVILLE MEZIERES ARDENNES TT")</f>
        <v>CHARLEVILLE MEZIERES ARDENNES TT</v>
      </c>
      <c r="G384" s="50" t="str">
        <f ca="1">IFERROR(__xludf.DUMMYFUNCTION("""COMPUTED_VALUE"""),"CD08")</f>
        <v>CD08</v>
      </c>
      <c r="H384" s="50" t="str">
        <f ca="1">IFERROR(__xludf.DUMMYFUNCTION("""COMPUTED_VALUE"""),"inactivité 3ème année")</f>
        <v>inactivité 3ème année</v>
      </c>
    </row>
    <row r="385" spans="1:8" ht="12.75">
      <c r="A385" s="46">
        <f ca="1">IFERROR(__xludf.DUMMYFUNCTION("""COMPUTED_VALUE"""),373)</f>
        <v>373</v>
      </c>
      <c r="B385" s="65" t="str">
        <f ca="1">IFERROR(__xludf.DUMMYFUNCTION("""COMPUTED_VALUE"""),"08789")</f>
        <v>08789</v>
      </c>
      <c r="C385" s="48" t="str">
        <f ca="1">IFERROR(__xludf.DUMMYFUNCTION("""COMPUTED_VALUE"""),"LORIETTE")</f>
        <v>LORIETTE</v>
      </c>
      <c r="D385" s="48" t="str">
        <f ca="1">IFERROR(__xludf.DUMMYFUNCTION("""COMPUTED_VALUE"""),"Yannick")</f>
        <v>Yannick</v>
      </c>
      <c r="E385" s="49" t="str">
        <f ca="1">IFERROR(__xludf.DUMMYFUNCTION("""COMPUTED_VALUE"""),"06080035")</f>
        <v>06080035</v>
      </c>
      <c r="F385" s="48" t="str">
        <f ca="1">IFERROR(__xludf.DUMMYFUNCTION("""COMPUTED_VALUE"""),"CHARLEVILLE MEZIERES ARDENNES TT")</f>
        <v>CHARLEVILLE MEZIERES ARDENNES TT</v>
      </c>
      <c r="G385" s="50" t="str">
        <f ca="1">IFERROR(__xludf.DUMMYFUNCTION("""COMPUTED_VALUE"""),"CD08")</f>
        <v>CD08</v>
      </c>
      <c r="H385" s="50" t="str">
        <f ca="1">IFERROR(__xludf.DUMMYFUNCTION("""COMPUTED_VALUE"""),"actif")</f>
        <v>actif</v>
      </c>
    </row>
    <row r="386" spans="1:8" ht="12.75">
      <c r="A386" s="46">
        <f ca="1">IFERROR(__xludf.DUMMYFUNCTION("""COMPUTED_VALUE"""),374)</f>
        <v>374</v>
      </c>
      <c r="B386" s="65" t="str">
        <f ca="1">IFERROR(__xludf.DUMMYFUNCTION("""COMPUTED_VALUE"""),"683189")</f>
        <v>683189</v>
      </c>
      <c r="C386" s="48" t="str">
        <f ca="1">IFERROR(__xludf.DUMMYFUNCTION("""COMPUTED_VALUE"""),"LUCIANI")</f>
        <v>LUCIANI</v>
      </c>
      <c r="D386" s="48" t="str">
        <f ca="1">IFERROR(__xludf.DUMMYFUNCTION("""COMPUTED_VALUE"""),"Ivo")</f>
        <v>Ivo</v>
      </c>
      <c r="E386" s="49" t="str">
        <f ca="1">IFERROR(__xludf.DUMMYFUNCTION("""COMPUTED_VALUE"""),"06680140")</f>
        <v>06680140</v>
      </c>
      <c r="F386" s="48" t="str">
        <f ca="1">IFERROR(__xludf.DUMMYFUNCTION("""COMPUTED_VALUE"""),"KEMBS TT")</f>
        <v>KEMBS TT</v>
      </c>
      <c r="G386" s="50" t="str">
        <f ca="1">IFERROR(__xludf.DUMMYFUNCTION("""COMPUTED_VALUE"""),"CD68")</f>
        <v>CD68</v>
      </c>
      <c r="H386" s="50" t="str">
        <f ca="1">IFERROR(__xludf.DUMMYFUNCTION("""COMPUTED_VALUE"""),"actif")</f>
        <v>actif</v>
      </c>
    </row>
    <row r="387" spans="1:8" ht="12.75">
      <c r="A387" s="46">
        <f ca="1">IFERROR(__xludf.DUMMYFUNCTION("""COMPUTED_VALUE"""),375)</f>
        <v>375</v>
      </c>
      <c r="B387" s="65" t="str">
        <f ca="1">IFERROR(__xludf.DUMMYFUNCTION("""COMPUTED_VALUE"""),"671543")</f>
        <v>671543</v>
      </c>
      <c r="C387" s="48" t="str">
        <f ca="1">IFERROR(__xludf.DUMMYFUNCTION("""COMPUTED_VALUE"""),"LUCK")</f>
        <v>LUCK</v>
      </c>
      <c r="D387" s="48" t="str">
        <f ca="1">IFERROR(__xludf.DUMMYFUNCTION("""COMPUTED_VALUE"""),"Daniel")</f>
        <v>Daniel</v>
      </c>
      <c r="E387" s="49" t="str">
        <f ca="1">IFERROR(__xludf.DUMMYFUNCTION("""COMPUTED_VALUE"""),"06670149")</f>
        <v>06670149</v>
      </c>
      <c r="F387" s="48" t="str">
        <f ca="1">IFERROR(__xludf.DUMMYFUNCTION("""COMPUTED_VALUE"""),"DORLISHEIM SD")</f>
        <v>DORLISHEIM SD</v>
      </c>
      <c r="G387" s="50" t="str">
        <f ca="1">IFERROR(__xludf.DUMMYFUNCTION("""COMPUTED_VALUE"""),"CD67")</f>
        <v>CD67</v>
      </c>
      <c r="H387" s="50" t="str">
        <f ca="1">IFERROR(__xludf.DUMMYFUNCTION("""COMPUTED_VALUE"""),"inactivité 2ème année")</f>
        <v>inactivité 2ème année</v>
      </c>
    </row>
    <row r="388" spans="1:8" ht="12.75">
      <c r="A388" s="46">
        <f ca="1">IFERROR(__xludf.DUMMYFUNCTION("""COMPUTED_VALUE"""),376)</f>
        <v>376</v>
      </c>
      <c r="B388" s="65" t="str">
        <f ca="1">IFERROR(__xludf.DUMMYFUNCTION("""COMPUTED_VALUE"""),"5416503")</f>
        <v>5416503</v>
      </c>
      <c r="C388" s="48" t="str">
        <f ca="1">IFERROR(__xludf.DUMMYFUNCTION("""COMPUTED_VALUE"""),"LUQUET")</f>
        <v>LUQUET</v>
      </c>
      <c r="D388" s="48" t="str">
        <f ca="1">IFERROR(__xludf.DUMMYFUNCTION("""COMPUTED_VALUE"""),"Loic")</f>
        <v>Loic</v>
      </c>
      <c r="E388" s="49" t="str">
        <f ca="1">IFERROR(__xludf.DUMMYFUNCTION("""COMPUTED_VALUE"""),"06540021")</f>
        <v>06540021</v>
      </c>
      <c r="F388" s="48" t="str">
        <f ca="1">IFERROR(__xludf.DUMMYFUNCTION("""COMPUTED_VALUE"""),"LUNEVILLE A.L.T.T.")</f>
        <v>LUNEVILLE A.L.T.T.</v>
      </c>
      <c r="G388" s="50" t="str">
        <f ca="1">IFERROR(__xludf.DUMMYFUNCTION("""COMPUTED_VALUE"""),"CD54")</f>
        <v>CD54</v>
      </c>
      <c r="H388" s="50" t="str">
        <f ca="1">IFERROR(__xludf.DUMMYFUNCTION("""COMPUTED_VALUE"""),"actif")</f>
        <v>actif</v>
      </c>
    </row>
    <row r="389" spans="1:8" ht="12.75">
      <c r="A389" s="46">
        <f ca="1">IFERROR(__xludf.DUMMYFUNCTION("""COMPUTED_VALUE"""),377)</f>
        <v>377</v>
      </c>
      <c r="B389" s="65" t="str">
        <f ca="1">IFERROR(__xludf.DUMMYFUNCTION("""COMPUTED_VALUE"""),"5723483")</f>
        <v>5723483</v>
      </c>
      <c r="C389" s="48" t="str">
        <f ca="1">IFERROR(__xludf.DUMMYFUNCTION("""COMPUTED_VALUE"""),"MADELAINE")</f>
        <v>MADELAINE</v>
      </c>
      <c r="D389" s="48" t="str">
        <f ca="1">IFERROR(__xludf.DUMMYFUNCTION("""COMPUTED_VALUE"""),"Maxime")</f>
        <v>Maxime</v>
      </c>
      <c r="E389" s="49" t="str">
        <f ca="1">IFERROR(__xludf.DUMMYFUNCTION("""COMPUTED_VALUE"""),"06540193")</f>
        <v>06540193</v>
      </c>
      <c r="F389" s="48" t="str">
        <f ca="1">IFERROR(__xludf.DUMMYFUNCTION("""COMPUTED_VALUE"""),"BACCARAT ABTT")</f>
        <v>BACCARAT ABTT</v>
      </c>
      <c r="G389" s="50" t="str">
        <f ca="1">IFERROR(__xludf.DUMMYFUNCTION("""COMPUTED_VALUE"""),"CD54")</f>
        <v>CD54</v>
      </c>
      <c r="H389" s="50" t="str">
        <f ca="1">IFERROR(__xludf.DUMMYFUNCTION("""COMPUTED_VALUE"""),"inactivité 3ème année")</f>
        <v>inactivité 3ème année</v>
      </c>
    </row>
    <row r="390" spans="1:8" ht="12.75">
      <c r="A390" s="46">
        <f ca="1">IFERROR(__xludf.DUMMYFUNCTION("""COMPUTED_VALUE"""),378)</f>
        <v>378</v>
      </c>
      <c r="B390" s="65" t="str">
        <f ca="1">IFERROR(__xludf.DUMMYFUNCTION("""COMPUTED_VALUE"""),"5432307")</f>
        <v>5432307</v>
      </c>
      <c r="C390" s="48" t="str">
        <f ca="1">IFERROR(__xludf.DUMMYFUNCTION("""COMPUTED_VALUE"""),"MAGINOT")</f>
        <v>MAGINOT</v>
      </c>
      <c r="D390" s="48" t="str">
        <f ca="1">IFERROR(__xludf.DUMMYFUNCTION("""COMPUTED_VALUE"""),"Victor")</f>
        <v>Victor</v>
      </c>
      <c r="E390" s="49" t="str">
        <f ca="1">IFERROR(__xludf.DUMMYFUNCTION("""COMPUTED_VALUE"""),"06540032")</f>
        <v>06540032</v>
      </c>
      <c r="F390" s="48" t="str">
        <f ca="1">IFERROR(__xludf.DUMMYFUNCTION("""COMPUTED_VALUE"""),"NEUVES MAISONS TT")</f>
        <v>NEUVES MAISONS TT</v>
      </c>
      <c r="G390" s="50" t="str">
        <f ca="1">IFERROR(__xludf.DUMMYFUNCTION("""COMPUTED_VALUE"""),"CD54")</f>
        <v>CD54</v>
      </c>
      <c r="H390" s="50" t="str">
        <f ca="1">IFERROR(__xludf.DUMMYFUNCTION("""COMPUTED_VALUE"""),"actif")</f>
        <v>actif</v>
      </c>
    </row>
    <row r="391" spans="1:8" ht="12.75">
      <c r="A391" s="46">
        <f ca="1">IFERROR(__xludf.DUMMYFUNCTION("""COMPUTED_VALUE"""),379)</f>
        <v>379</v>
      </c>
      <c r="B391" s="65" t="str">
        <f ca="1">IFERROR(__xludf.DUMMYFUNCTION("""COMPUTED_VALUE"""),"1061")</f>
        <v>1061</v>
      </c>
      <c r="C391" s="48" t="str">
        <f ca="1">IFERROR(__xludf.DUMMYFUNCTION("""COMPUTED_VALUE"""),"MAITROT")</f>
        <v>MAITROT</v>
      </c>
      <c r="D391" s="48" t="str">
        <f ca="1">IFERROR(__xludf.DUMMYFUNCTION("""COMPUTED_VALUE"""),"Dominique")</f>
        <v>Dominique</v>
      </c>
      <c r="E391" s="49" t="str">
        <f ca="1">IFERROR(__xludf.DUMMYFUNCTION("""COMPUTED_VALUE"""),"06100002")</f>
        <v>06100002</v>
      </c>
      <c r="F391" s="48" t="str">
        <f ca="1">IFERROR(__xludf.DUMMYFUNCTION("""COMPUTED_VALUE"""),"TROYES O.S - NOËS TT")</f>
        <v>TROYES O.S - NOËS TT</v>
      </c>
      <c r="G391" s="50" t="str">
        <f ca="1">IFERROR(__xludf.DUMMYFUNCTION("""COMPUTED_VALUE"""),"CD10")</f>
        <v>CD10</v>
      </c>
      <c r="H391" s="50" t="str">
        <f ca="1">IFERROR(__xludf.DUMMYFUNCTION("""COMPUTED_VALUE"""),"inactivité 1ère année")</f>
        <v>inactivité 1ère année</v>
      </c>
    </row>
    <row r="392" spans="1:8" ht="12.75">
      <c r="A392" s="46">
        <f ca="1">IFERROR(__xludf.DUMMYFUNCTION("""COMPUTED_VALUE"""),380)</f>
        <v>380</v>
      </c>
      <c r="B392" s="65" t="str">
        <f ca="1">IFERROR(__xludf.DUMMYFUNCTION("""COMPUTED_VALUE"""),"5712505")</f>
        <v>5712505</v>
      </c>
      <c r="C392" s="48" t="str">
        <f ca="1">IFERROR(__xludf.DUMMYFUNCTION("""COMPUTED_VALUE"""),"MALHACHE")</f>
        <v>MALHACHE</v>
      </c>
      <c r="D392" s="48" t="str">
        <f ca="1">IFERROR(__xludf.DUMMYFUNCTION("""COMPUTED_VALUE"""),"Marc")</f>
        <v>Marc</v>
      </c>
      <c r="E392" s="49" t="str">
        <f ca="1">IFERROR(__xludf.DUMMYFUNCTION("""COMPUTED_VALUE"""),"06880066")</f>
        <v>06880066</v>
      </c>
      <c r="F392" s="48" t="str">
        <f ca="1">IFERROR(__xludf.DUMMYFUNCTION("""COMPUTED_VALUE"""),"ELOYES C.L.L.T.T.")</f>
        <v>ELOYES C.L.L.T.T.</v>
      </c>
      <c r="G392" s="50" t="str">
        <f ca="1">IFERROR(__xludf.DUMMYFUNCTION("""COMPUTED_VALUE"""),"CD88")</f>
        <v>CD88</v>
      </c>
      <c r="H392" s="50" t="str">
        <f ca="1">IFERROR(__xludf.DUMMYFUNCTION("""COMPUTED_VALUE"""),"inactivité 1ère année")</f>
        <v>inactivité 1ère année</v>
      </c>
    </row>
    <row r="393" spans="1:8" ht="12.75">
      <c r="A393" s="46">
        <f ca="1">IFERROR(__xludf.DUMMYFUNCTION("""COMPUTED_VALUE"""),381)</f>
        <v>381</v>
      </c>
      <c r="B393" s="65" t="str">
        <f ca="1">IFERROR(__xludf.DUMMYFUNCTION("""COMPUTED_VALUE"""),"57415")</f>
        <v>57415</v>
      </c>
      <c r="C393" s="48" t="str">
        <f ca="1">IFERROR(__xludf.DUMMYFUNCTION("""COMPUTED_VALUE"""),"MALTRY")</f>
        <v>MALTRY</v>
      </c>
      <c r="D393" s="48" t="str">
        <f ca="1">IFERROR(__xludf.DUMMYFUNCTION("""COMPUTED_VALUE"""),"Julien")</f>
        <v>Julien</v>
      </c>
      <c r="E393" s="49" t="str">
        <f ca="1">IFERROR(__xludf.DUMMYFUNCTION("""COMPUTED_VALUE"""),"06570022")</f>
        <v>06570022</v>
      </c>
      <c r="F393" s="48" t="str">
        <f ca="1">IFERROR(__xludf.DUMMYFUNCTION("""COMPUTED_VALUE"""),"AS.Sarreguemines Tennis de Table")</f>
        <v>AS.Sarreguemines Tennis de Table</v>
      </c>
      <c r="G393" s="50" t="str">
        <f ca="1">IFERROR(__xludf.DUMMYFUNCTION("""COMPUTED_VALUE"""),"CD57")</f>
        <v>CD57</v>
      </c>
      <c r="H393" s="50" t="str">
        <f ca="1">IFERROR(__xludf.DUMMYFUNCTION("""COMPUTED_VALUE"""),"actif")</f>
        <v>actif</v>
      </c>
    </row>
    <row r="394" spans="1:8" ht="12.75">
      <c r="A394" s="46">
        <f ca="1">IFERROR(__xludf.DUMMYFUNCTION("""COMPUTED_VALUE"""),382)</f>
        <v>382</v>
      </c>
      <c r="B394" s="65" t="str">
        <f ca="1">IFERROR(__xludf.DUMMYFUNCTION("""COMPUTED_VALUE"""),"5723930")</f>
        <v>5723930</v>
      </c>
      <c r="C394" s="48" t="str">
        <f ca="1">IFERROR(__xludf.DUMMYFUNCTION("""COMPUTED_VALUE"""),"MANGEAT")</f>
        <v>MANGEAT</v>
      </c>
      <c r="D394" s="48" t="str">
        <f ca="1">IFERROR(__xludf.DUMMYFUNCTION("""COMPUTED_VALUE"""),"Nicolas")</f>
        <v>Nicolas</v>
      </c>
      <c r="E394" s="49" t="str">
        <f ca="1">IFERROR(__xludf.DUMMYFUNCTION("""COMPUTED_VALUE"""),"06570005")</f>
        <v>06570005</v>
      </c>
      <c r="F394" s="48" t="str">
        <f ca="1">IFERROR(__xludf.DUMMYFUNCTION("""COMPUTED_VALUE"""),"FAULQUEMONT E.S.C.")</f>
        <v>FAULQUEMONT E.S.C.</v>
      </c>
      <c r="G394" s="50" t="str">
        <f ca="1">IFERROR(__xludf.DUMMYFUNCTION("""COMPUTED_VALUE"""),"CD57")</f>
        <v>CD57</v>
      </c>
      <c r="H394" s="50" t="str">
        <f ca="1">IFERROR(__xludf.DUMMYFUNCTION("""COMPUTED_VALUE"""),"inactivité 1ère année")</f>
        <v>inactivité 1ère année</v>
      </c>
    </row>
    <row r="395" spans="1:8" ht="12.75">
      <c r="A395" s="46">
        <f ca="1">IFERROR(__xludf.DUMMYFUNCTION("""COMPUTED_VALUE"""),383)</f>
        <v>383</v>
      </c>
      <c r="B395" s="65" t="str">
        <f ca="1">IFERROR(__xludf.DUMMYFUNCTION("""COMPUTED_VALUE"""),"51499")</f>
        <v>51499</v>
      </c>
      <c r="C395" s="48" t="str">
        <f ca="1">IFERROR(__xludf.DUMMYFUNCTION("""COMPUTED_VALUE"""),"MANGEOT")</f>
        <v>MANGEOT</v>
      </c>
      <c r="D395" s="48" t="str">
        <f ca="1">IFERROR(__xludf.DUMMYFUNCTION("""COMPUTED_VALUE"""),"Frederic")</f>
        <v>Frederic</v>
      </c>
      <c r="E395" s="49" t="str">
        <f ca="1">IFERROR(__xludf.DUMMYFUNCTION("""COMPUTED_VALUE"""),"06510029")</f>
        <v>06510029</v>
      </c>
      <c r="F395" s="48" t="str">
        <f ca="1">IFERROR(__xludf.DUMMYFUNCTION("""COMPUTED_VALUE"""),"GRAUVES TT")</f>
        <v>GRAUVES TT</v>
      </c>
      <c r="G395" s="50" t="str">
        <f ca="1">IFERROR(__xludf.DUMMYFUNCTION("""COMPUTED_VALUE"""),"CD51")</f>
        <v>CD51</v>
      </c>
      <c r="H395" s="50" t="str">
        <f ca="1">IFERROR(__xludf.DUMMYFUNCTION("""COMPUTED_VALUE"""),"inactivité 3ème année")</f>
        <v>inactivité 3ème année</v>
      </c>
    </row>
    <row r="396" spans="1:8" ht="12.75">
      <c r="A396" s="46">
        <f ca="1">IFERROR(__xludf.DUMMYFUNCTION("""COMPUTED_VALUE"""),384)</f>
        <v>384</v>
      </c>
      <c r="B396" s="65" t="str">
        <f ca="1">IFERROR(__xludf.DUMMYFUNCTION("""COMPUTED_VALUE"""),"517638")</f>
        <v>517638</v>
      </c>
      <c r="C396" s="48" t="str">
        <f ca="1">IFERROR(__xludf.DUMMYFUNCTION("""COMPUTED_VALUE"""),"MANGEOT")</f>
        <v>MANGEOT</v>
      </c>
      <c r="D396" s="48" t="str">
        <f ca="1">IFERROR(__xludf.DUMMYFUNCTION("""COMPUTED_VALUE"""),"Karelle")</f>
        <v>Karelle</v>
      </c>
      <c r="E396" s="49" t="str">
        <f ca="1">IFERROR(__xludf.DUMMYFUNCTION("""COMPUTED_VALUE"""),"06510029")</f>
        <v>06510029</v>
      </c>
      <c r="F396" s="48" t="str">
        <f ca="1">IFERROR(__xludf.DUMMYFUNCTION("""COMPUTED_VALUE"""),"GRAUVES TT")</f>
        <v>GRAUVES TT</v>
      </c>
      <c r="G396" s="50" t="str">
        <f ca="1">IFERROR(__xludf.DUMMYFUNCTION("""COMPUTED_VALUE"""),"CD51")</f>
        <v>CD51</v>
      </c>
      <c r="H396" s="50" t="str">
        <f ca="1">IFERROR(__xludf.DUMMYFUNCTION("""COMPUTED_VALUE"""),"inactivité 3ème année")</f>
        <v>inactivité 3ème année</v>
      </c>
    </row>
    <row r="397" spans="1:8" ht="12.75">
      <c r="A397" s="46">
        <f ca="1">IFERROR(__xludf.DUMMYFUNCTION("""COMPUTED_VALUE"""),385)</f>
        <v>385</v>
      </c>
      <c r="B397" s="65" t="str">
        <f ca="1">IFERROR(__xludf.DUMMYFUNCTION("""COMPUTED_VALUE"""),"517088")</f>
        <v>517088</v>
      </c>
      <c r="C397" s="48" t="str">
        <f ca="1">IFERROR(__xludf.DUMMYFUNCTION("""COMPUTED_VALUE"""),"MANSART")</f>
        <v>MANSART</v>
      </c>
      <c r="D397" s="48" t="str">
        <f ca="1">IFERROR(__xludf.DUMMYFUNCTION("""COMPUTED_VALUE"""),"Michel")</f>
        <v>Michel</v>
      </c>
      <c r="E397" s="49" t="str">
        <f ca="1">IFERROR(__xludf.DUMMYFUNCTION("""COMPUTED_VALUE"""),"06510004")</f>
        <v>06510004</v>
      </c>
      <c r="F397" s="48" t="str">
        <f ca="1">IFERROR(__xludf.DUMMYFUNCTION("""COMPUTED_VALUE"""),"CHALONS ASPTT")</f>
        <v>CHALONS ASPTT</v>
      </c>
      <c r="G397" s="50" t="str">
        <f ca="1">IFERROR(__xludf.DUMMYFUNCTION("""COMPUTED_VALUE"""),"CD51")</f>
        <v>CD51</v>
      </c>
      <c r="H397" s="50" t="str">
        <f ca="1">IFERROR(__xludf.DUMMYFUNCTION("""COMPUTED_VALUE"""),"inactivité 2ème année")</f>
        <v>inactivité 2ème année</v>
      </c>
    </row>
    <row r="398" spans="1:8" ht="12.75">
      <c r="A398" s="46">
        <f ca="1">IFERROR(__xludf.DUMMYFUNCTION("""COMPUTED_VALUE"""),386)</f>
        <v>386</v>
      </c>
      <c r="B398" s="65" t="str">
        <f ca="1">IFERROR(__xludf.DUMMYFUNCTION("""COMPUTED_VALUE"""),"106000")</f>
        <v>106000</v>
      </c>
      <c r="C398" s="48" t="str">
        <f ca="1">IFERROR(__xludf.DUMMYFUNCTION("""COMPUTED_VALUE"""),"MARAVAL")</f>
        <v>MARAVAL</v>
      </c>
      <c r="D398" s="48" t="str">
        <f ca="1">IFERROR(__xludf.DUMMYFUNCTION("""COMPUTED_VALUE"""),"Lucas")</f>
        <v>Lucas</v>
      </c>
      <c r="E398" s="49" t="str">
        <f ca="1">IFERROR(__xludf.DUMMYFUNCTION("""COMPUTED_VALUE"""),"06510112")</f>
        <v>06510112</v>
      </c>
      <c r="F398" s="48" t="str">
        <f ca="1">IFERROR(__xludf.DUMMYFUNCTION("""COMPUTED_VALUE"""),"CHALONS-EN-CHAMPAGNE TT")</f>
        <v>CHALONS-EN-CHAMPAGNE TT</v>
      </c>
      <c r="G398" s="50" t="str">
        <f ca="1">IFERROR(__xludf.DUMMYFUNCTION("""COMPUTED_VALUE"""),"CD51")</f>
        <v>CD51</v>
      </c>
      <c r="H398" s="50" t="str">
        <f ca="1">IFERROR(__xludf.DUMMYFUNCTION("""COMPUTED_VALUE"""),"actif")</f>
        <v>actif</v>
      </c>
    </row>
    <row r="399" spans="1:8" ht="12.75">
      <c r="A399" s="46">
        <f ca="1">IFERROR(__xludf.DUMMYFUNCTION("""COMPUTED_VALUE"""),387)</f>
        <v>387</v>
      </c>
      <c r="B399" s="65" t="str">
        <f ca="1">IFERROR(__xludf.DUMMYFUNCTION("""COMPUTED_VALUE"""),"889080")</f>
        <v>889080</v>
      </c>
      <c r="C399" s="48" t="str">
        <f ca="1">IFERROR(__xludf.DUMMYFUNCTION("""COMPUTED_VALUE"""),"MARQUES")</f>
        <v>MARQUES</v>
      </c>
      <c r="D399" s="48" t="str">
        <f ca="1">IFERROR(__xludf.DUMMYFUNCTION("""COMPUTED_VALUE"""),"Vincent")</f>
        <v>Vincent</v>
      </c>
      <c r="E399" s="49" t="str">
        <f ca="1">IFERROR(__xludf.DUMMYFUNCTION("""COMPUTED_VALUE"""),"06880119")</f>
        <v>06880119</v>
      </c>
      <c r="F399" s="48" t="str">
        <f ca="1">IFERROR(__xludf.DUMMYFUNCTION("""COMPUTED_VALUE"""),"CHARMES-VINCEY T.T.")</f>
        <v>CHARMES-VINCEY T.T.</v>
      </c>
      <c r="G399" s="50" t="str">
        <f ca="1">IFERROR(__xludf.DUMMYFUNCTION("""COMPUTED_VALUE"""),"CD88")</f>
        <v>CD88</v>
      </c>
      <c r="H399" s="50" t="str">
        <f ca="1">IFERROR(__xludf.DUMMYFUNCTION("""COMPUTED_VALUE"""),"inactivité 2ème année")</f>
        <v>inactivité 2ème année</v>
      </c>
    </row>
    <row r="400" spans="1:8" ht="12.75">
      <c r="A400" s="46">
        <f ca="1">IFERROR(__xludf.DUMMYFUNCTION("""COMPUTED_VALUE"""),388)</f>
        <v>388</v>
      </c>
      <c r="B400" s="65" t="str">
        <f ca="1">IFERROR(__xludf.DUMMYFUNCTION("""COMPUTED_VALUE"""),"6810097")</f>
        <v>6810097</v>
      </c>
      <c r="C400" s="48" t="str">
        <f ca="1">IFERROR(__xludf.DUMMYFUNCTION("""COMPUTED_VALUE"""),"MARROCCO")</f>
        <v>MARROCCO</v>
      </c>
      <c r="D400" s="48" t="str">
        <f ca="1">IFERROR(__xludf.DUMMYFUNCTION("""COMPUTED_VALUE"""),"Philippe")</f>
        <v>Philippe</v>
      </c>
      <c r="E400" s="49" t="str">
        <f ca="1">IFERROR(__xludf.DUMMYFUNCTION("""COMPUTED_VALUE"""),"06680116")</f>
        <v>06680116</v>
      </c>
      <c r="F400" s="48" t="str">
        <f ca="1">IFERROR(__xludf.DUMMYFUNCTION("""COMPUTED_VALUE"""),"WINTZFELDEN TT")</f>
        <v>WINTZFELDEN TT</v>
      </c>
      <c r="G400" s="50" t="str">
        <f ca="1">IFERROR(__xludf.DUMMYFUNCTION("""COMPUTED_VALUE"""),"CD68")</f>
        <v>CD68</v>
      </c>
      <c r="H400" s="50" t="str">
        <f ca="1">IFERROR(__xludf.DUMMYFUNCTION("""COMPUTED_VALUE"""),"inactivité 2ème année")</f>
        <v>inactivité 2ème année</v>
      </c>
    </row>
    <row r="401" spans="1:8" ht="12.75">
      <c r="A401" s="46">
        <f ca="1">IFERROR(__xludf.DUMMYFUNCTION("""COMPUTED_VALUE"""),389)</f>
        <v>389</v>
      </c>
      <c r="B401" s="65" t="str">
        <f ca="1">IFERROR(__xludf.DUMMYFUNCTION("""COMPUTED_VALUE"""),"517951")</f>
        <v>517951</v>
      </c>
      <c r="C401" s="48" t="str">
        <f ca="1">IFERROR(__xludf.DUMMYFUNCTION("""COMPUTED_VALUE"""),"MARTENS")</f>
        <v>MARTENS</v>
      </c>
      <c r="D401" s="48" t="str">
        <f ca="1">IFERROR(__xludf.DUMMYFUNCTION("""COMPUTED_VALUE"""),"Sebastien")</f>
        <v>Sebastien</v>
      </c>
      <c r="E401" s="49" t="str">
        <f ca="1">IFERROR(__xludf.DUMMYFUNCTION("""COMPUTED_VALUE"""),"06570190")</f>
        <v>06570190</v>
      </c>
      <c r="F401" s="48" t="str">
        <f ca="1">IFERROR(__xludf.DUMMYFUNCTION("""COMPUTED_VALUE"""),"METZ Tennis de Table")</f>
        <v>METZ Tennis de Table</v>
      </c>
      <c r="G401" s="50" t="str">
        <f ca="1">IFERROR(__xludf.DUMMYFUNCTION("""COMPUTED_VALUE"""),"CD57")</f>
        <v>CD57</v>
      </c>
      <c r="H401" s="50" t="str">
        <f ca="1">IFERROR(__xludf.DUMMYFUNCTION("""COMPUTED_VALUE"""),"inactivité 1ère année")</f>
        <v>inactivité 1ère année</v>
      </c>
    </row>
    <row r="402" spans="1:8" ht="12.75">
      <c r="A402" s="46">
        <f ca="1">IFERROR(__xludf.DUMMYFUNCTION("""COMPUTED_VALUE"""),390)</f>
        <v>390</v>
      </c>
      <c r="B402" s="65" t="str">
        <f ca="1">IFERROR(__xludf.DUMMYFUNCTION("""COMPUTED_VALUE"""),"675304")</f>
        <v>675304</v>
      </c>
      <c r="C402" s="48" t="str">
        <f ca="1">IFERROR(__xludf.DUMMYFUNCTION("""COMPUTED_VALUE"""),"MARTIN")</f>
        <v>MARTIN</v>
      </c>
      <c r="D402" s="48" t="str">
        <f ca="1">IFERROR(__xludf.DUMMYFUNCTION("""COMPUTED_VALUE"""),"Jean-philippe")</f>
        <v>Jean-philippe</v>
      </c>
      <c r="E402" s="49" t="str">
        <f ca="1">IFERROR(__xludf.DUMMYFUNCTION("""COMPUTED_VALUE"""),"06670045")</f>
        <v>06670045</v>
      </c>
      <c r="F402" s="48" t="str">
        <f ca="1">IFERROR(__xludf.DUMMYFUNCTION("""COMPUTED_VALUE"""),"STRASBOURG RC")</f>
        <v>STRASBOURG RC</v>
      </c>
      <c r="G402" s="50" t="str">
        <f ca="1">IFERROR(__xludf.DUMMYFUNCTION("""COMPUTED_VALUE"""),"CD67")</f>
        <v>CD67</v>
      </c>
      <c r="H402" s="50" t="str">
        <f ca="1">IFERROR(__xludf.DUMMYFUNCTION("""COMPUTED_VALUE"""),"inactivité 1ère année")</f>
        <v>inactivité 1ère année</v>
      </c>
    </row>
    <row r="403" spans="1:8" ht="12.75">
      <c r="A403" s="46">
        <f ca="1">IFERROR(__xludf.DUMMYFUNCTION("""COMPUTED_VALUE"""),391)</f>
        <v>391</v>
      </c>
      <c r="B403" s="65" t="str">
        <f ca="1">IFERROR(__xludf.DUMMYFUNCTION("""COMPUTED_VALUE"""),"5716159")</f>
        <v>5716159</v>
      </c>
      <c r="C403" s="48" t="str">
        <f ca="1">IFERROR(__xludf.DUMMYFUNCTION("""COMPUTED_VALUE"""),"MATHIEU")</f>
        <v>MATHIEU</v>
      </c>
      <c r="D403" s="48" t="str">
        <f ca="1">IFERROR(__xludf.DUMMYFUNCTION("""COMPUTED_VALUE"""),"Sebastien")</f>
        <v>Sebastien</v>
      </c>
      <c r="E403" s="49" t="str">
        <f ca="1">IFERROR(__xludf.DUMMYFUNCTION("""COMPUTED_VALUE"""),"06510107")</f>
        <v>06510107</v>
      </c>
      <c r="F403" s="48" t="str">
        <f ca="1">IFERROR(__xludf.DUMMYFUNCTION("""COMPUTED_VALUE"""),"GUEUX TINQUEUX ASTT")</f>
        <v>GUEUX TINQUEUX ASTT</v>
      </c>
      <c r="G403" s="50" t="str">
        <f ca="1">IFERROR(__xludf.DUMMYFUNCTION("""COMPUTED_VALUE"""),"CD51")</f>
        <v>CD51</v>
      </c>
      <c r="H403" s="50" t="str">
        <f ca="1">IFERROR(__xludf.DUMMYFUNCTION("""COMPUTED_VALUE"""),"actif")</f>
        <v>actif</v>
      </c>
    </row>
    <row r="404" spans="1:8" ht="12.75">
      <c r="A404" s="46">
        <f ca="1">IFERROR(__xludf.DUMMYFUNCTION("""COMPUTED_VALUE"""),392)</f>
        <v>392</v>
      </c>
      <c r="B404" s="65" t="str">
        <f ca="1">IFERROR(__xludf.DUMMYFUNCTION("""COMPUTED_VALUE"""),"5434192")</f>
        <v>5434192</v>
      </c>
      <c r="C404" s="48" t="str">
        <f ca="1">IFERROR(__xludf.DUMMYFUNCTION("""COMPUTED_VALUE"""),"MATHIEU")</f>
        <v>MATHIEU</v>
      </c>
      <c r="D404" s="48" t="str">
        <f ca="1">IFERROR(__xludf.DUMMYFUNCTION("""COMPUTED_VALUE"""),"Yann")</f>
        <v>Yann</v>
      </c>
      <c r="E404" s="49" t="str">
        <f ca="1">IFERROR(__xludf.DUMMYFUNCTION("""COMPUTED_VALUE"""),"06550058")</f>
        <v>06550058</v>
      </c>
      <c r="F404" s="48" t="str">
        <f ca="1">IFERROR(__xludf.DUMMYFUNCTION("""COMPUTED_VALUE"""),"Les Loups de DAMVILLERS ASTT ")</f>
        <v xml:space="preserve">Les Loups de DAMVILLERS ASTT </v>
      </c>
      <c r="G404" s="50" t="str">
        <f ca="1">IFERROR(__xludf.DUMMYFUNCTION("""COMPUTED_VALUE"""),"CD55")</f>
        <v>CD55</v>
      </c>
      <c r="H404" s="50" t="str">
        <f ca="1">IFERROR(__xludf.DUMMYFUNCTION("""COMPUTED_VALUE"""),"inactivité 1ère année")</f>
        <v>inactivité 1ère année</v>
      </c>
    </row>
    <row r="405" spans="1:8" ht="12.75">
      <c r="A405" s="46">
        <f ca="1">IFERROR(__xludf.DUMMYFUNCTION("""COMPUTED_VALUE"""),393)</f>
        <v>393</v>
      </c>
      <c r="B405" s="65" t="str">
        <f ca="1">IFERROR(__xludf.DUMMYFUNCTION("""COMPUTED_VALUE"""),"5114038")</f>
        <v>5114038</v>
      </c>
      <c r="C405" s="48" t="str">
        <f ca="1">IFERROR(__xludf.DUMMYFUNCTION("""COMPUTED_VALUE"""),"MATHIEU BRESSION")</f>
        <v>MATHIEU BRESSION</v>
      </c>
      <c r="D405" s="48" t="str">
        <f ca="1">IFERROR(__xludf.DUMMYFUNCTION("""COMPUTED_VALUE"""),"Noe")</f>
        <v>Noe</v>
      </c>
      <c r="E405" s="49" t="str">
        <f ca="1">IFERROR(__xludf.DUMMYFUNCTION("""COMPUTED_VALUE"""),"06510107")</f>
        <v>06510107</v>
      </c>
      <c r="F405" s="48" t="str">
        <f ca="1">IFERROR(__xludf.DUMMYFUNCTION("""COMPUTED_VALUE"""),"GUEUX TINQUEUX ASTT")</f>
        <v>GUEUX TINQUEUX ASTT</v>
      </c>
      <c r="G405" s="50" t="str">
        <f ca="1">IFERROR(__xludf.DUMMYFUNCTION("""COMPUTED_VALUE"""),"CD51")</f>
        <v>CD51</v>
      </c>
      <c r="H405" s="50" t="str">
        <f ca="1">IFERROR(__xludf.DUMMYFUNCTION("""COMPUTED_VALUE"""),"inactivité 3ème année")</f>
        <v>inactivité 3ème année</v>
      </c>
    </row>
    <row r="406" spans="1:8" ht="12.75">
      <c r="A406" s="46">
        <f ca="1">IFERROR(__xludf.DUMMYFUNCTION("""COMPUTED_VALUE"""),394)</f>
        <v>394</v>
      </c>
      <c r="B406" s="65" t="str">
        <f ca="1">IFERROR(__xludf.DUMMYFUNCTION("""COMPUTED_VALUE"""),"57981")</f>
        <v>57981</v>
      </c>
      <c r="C406" s="48" t="str">
        <f ca="1">IFERROR(__xludf.DUMMYFUNCTION("""COMPUTED_VALUE"""),"MATHIS")</f>
        <v>MATHIS</v>
      </c>
      <c r="D406" s="48" t="str">
        <f ca="1">IFERROR(__xludf.DUMMYFUNCTION("""COMPUTED_VALUE"""),"Frederic")</f>
        <v>Frederic</v>
      </c>
      <c r="E406" s="49" t="str">
        <f ca="1">IFERROR(__xludf.DUMMYFUNCTION("""COMPUTED_VALUE"""),"06570158")</f>
        <v>06570158</v>
      </c>
      <c r="F406" s="48" t="str">
        <f ca="1">IFERROR(__xludf.DUMMYFUNCTION("""COMPUTED_VALUE"""),"KNUTANGE-NILVANGE TT")</f>
        <v>KNUTANGE-NILVANGE TT</v>
      </c>
      <c r="G406" s="50" t="str">
        <f ca="1">IFERROR(__xludf.DUMMYFUNCTION("""COMPUTED_VALUE"""),"CD57")</f>
        <v>CD57</v>
      </c>
      <c r="H406" s="50" t="str">
        <f ca="1">IFERROR(__xludf.DUMMYFUNCTION("""COMPUTED_VALUE"""),"inactivité 2ème année")</f>
        <v>inactivité 2ème année</v>
      </c>
    </row>
    <row r="407" spans="1:8" ht="12.75">
      <c r="A407" s="46">
        <f ca="1">IFERROR(__xludf.DUMMYFUNCTION("""COMPUTED_VALUE"""),395)</f>
        <v>395</v>
      </c>
      <c r="B407" s="65" t="str">
        <f ca="1">IFERROR(__xludf.DUMMYFUNCTION("""COMPUTED_VALUE"""),"88351")</f>
        <v>88351</v>
      </c>
      <c r="C407" s="48" t="str">
        <f ca="1">IFERROR(__xludf.DUMMYFUNCTION("""COMPUTED_VALUE"""),"MATHIS")</f>
        <v>MATHIS</v>
      </c>
      <c r="D407" s="48" t="str">
        <f ca="1">IFERROR(__xludf.DUMMYFUNCTION("""COMPUTED_VALUE"""),"Eric")</f>
        <v>Eric</v>
      </c>
      <c r="E407" s="49" t="str">
        <f ca="1">IFERROR(__xludf.DUMMYFUNCTION("""COMPUTED_VALUE"""),"06880066")</f>
        <v>06880066</v>
      </c>
      <c r="F407" s="48" t="str">
        <f ca="1">IFERROR(__xludf.DUMMYFUNCTION("""COMPUTED_VALUE"""),"ELOYES C.L.L.T.T.")</f>
        <v>ELOYES C.L.L.T.T.</v>
      </c>
      <c r="G407" s="50" t="str">
        <f ca="1">IFERROR(__xludf.DUMMYFUNCTION("""COMPUTED_VALUE"""),"CD88")</f>
        <v>CD88</v>
      </c>
      <c r="H407" s="50" t="str">
        <f ca="1">IFERROR(__xludf.DUMMYFUNCTION("""COMPUTED_VALUE"""),"actif")</f>
        <v>actif</v>
      </c>
    </row>
    <row r="408" spans="1:8" ht="12.75">
      <c r="A408" s="46">
        <f ca="1">IFERROR(__xludf.DUMMYFUNCTION("""COMPUTED_VALUE"""),396)</f>
        <v>396</v>
      </c>
      <c r="B408" s="65" t="str">
        <f ca="1">IFERROR(__xludf.DUMMYFUNCTION("""COMPUTED_VALUE"""),"8817455")</f>
        <v>8817455</v>
      </c>
      <c r="C408" s="48" t="str">
        <f ca="1">IFERROR(__xludf.DUMMYFUNCTION("""COMPUTED_VALUE"""),"MATHIS")</f>
        <v>MATHIS</v>
      </c>
      <c r="D408" s="48" t="str">
        <f ca="1">IFERROR(__xludf.DUMMYFUNCTION("""COMPUTED_VALUE"""),"Anthony")</f>
        <v>Anthony</v>
      </c>
      <c r="E408" s="49" t="str">
        <f ca="1">IFERROR(__xludf.DUMMYFUNCTION("""COMPUTED_VALUE"""),"06880002")</f>
        <v>06880002</v>
      </c>
      <c r="F408" s="48" t="str">
        <f ca="1">IFERROR(__xludf.DUMMYFUNCTION("""COMPUTED_VALUE"""),"ANOULD Cercle Pongiste")</f>
        <v>ANOULD Cercle Pongiste</v>
      </c>
      <c r="G408" s="50" t="str">
        <f ca="1">IFERROR(__xludf.DUMMYFUNCTION("""COMPUTED_VALUE"""),"CD88")</f>
        <v>CD88</v>
      </c>
      <c r="H408" s="50" t="str">
        <f ca="1">IFERROR(__xludf.DUMMYFUNCTION("""COMPUTED_VALUE"""),"inactivité 3ème année")</f>
        <v>inactivité 3ème année</v>
      </c>
    </row>
    <row r="409" spans="1:8" ht="12.75">
      <c r="A409" s="46">
        <f ca="1">IFERROR(__xludf.DUMMYFUNCTION("""COMPUTED_VALUE"""),397)</f>
        <v>397</v>
      </c>
      <c r="B409" s="65" t="str">
        <f ca="1">IFERROR(__xludf.DUMMYFUNCTION("""COMPUTED_VALUE"""),"6714389")</f>
        <v>6714389</v>
      </c>
      <c r="C409" s="48" t="str">
        <f ca="1">IFERROR(__xludf.DUMMYFUNCTION("""COMPUTED_VALUE"""),"MATTERN")</f>
        <v>MATTERN</v>
      </c>
      <c r="D409" s="48" t="str">
        <f ca="1">IFERROR(__xludf.DUMMYFUNCTION("""COMPUTED_VALUE"""),"Yann")</f>
        <v>Yann</v>
      </c>
      <c r="E409" s="49" t="str">
        <f ca="1">IFERROR(__xludf.DUMMYFUNCTION("""COMPUTED_VALUE"""),"06670248")</f>
        <v>06670248</v>
      </c>
      <c r="F409" s="48" t="str">
        <f ca="1">IFERROR(__xludf.DUMMYFUNCTION("""COMPUTED_VALUE"""),"MARMOUTIER CSE")</f>
        <v>MARMOUTIER CSE</v>
      </c>
      <c r="G409" s="50" t="str">
        <f ca="1">IFERROR(__xludf.DUMMYFUNCTION("""COMPUTED_VALUE"""),"CD67")</f>
        <v>CD67</v>
      </c>
      <c r="H409" s="50" t="str">
        <f ca="1">IFERROR(__xludf.DUMMYFUNCTION("""COMPUTED_VALUE"""),"inactivité 3ème année")</f>
        <v>inactivité 3ème année</v>
      </c>
    </row>
    <row r="410" spans="1:8" ht="12.75">
      <c r="A410" s="46">
        <f ca="1">IFERROR(__xludf.DUMMYFUNCTION("""COMPUTED_VALUE"""),398)</f>
        <v>398</v>
      </c>
      <c r="B410" s="65" t="str">
        <f ca="1">IFERROR(__xludf.DUMMYFUNCTION("""COMPUTED_VALUE"""),"8810593")</f>
        <v>8810593</v>
      </c>
      <c r="C410" s="48" t="str">
        <f ca="1">IFERROR(__xludf.DUMMYFUNCTION("""COMPUTED_VALUE"""),"MAUCOTEL")</f>
        <v>MAUCOTEL</v>
      </c>
      <c r="D410" s="48" t="str">
        <f ca="1">IFERROR(__xludf.DUMMYFUNCTION("""COMPUTED_VALUE"""),"Ludovic")</f>
        <v>Ludovic</v>
      </c>
      <c r="E410" s="49" t="str">
        <f ca="1">IFERROR(__xludf.DUMMYFUNCTION("""COMPUTED_VALUE"""),"06880022")</f>
        <v>06880022</v>
      </c>
      <c r="F410" s="48" t="str">
        <f ca="1">IFERROR(__xludf.DUMMYFUNCTION("""COMPUTED_VALUE"""),"VITTEL SAINT REMY TT")</f>
        <v>VITTEL SAINT REMY TT</v>
      </c>
      <c r="G410" s="50" t="str">
        <f ca="1">IFERROR(__xludf.DUMMYFUNCTION("""COMPUTED_VALUE"""),"CD88")</f>
        <v>CD88</v>
      </c>
      <c r="H410" s="50" t="str">
        <f ca="1">IFERROR(__xludf.DUMMYFUNCTION("""COMPUTED_VALUE"""),"inactivité 2ème année")</f>
        <v>inactivité 2ème année</v>
      </c>
    </row>
    <row r="411" spans="1:8" ht="12.75">
      <c r="A411" s="46">
        <f ca="1">IFERROR(__xludf.DUMMYFUNCTION("""COMPUTED_VALUE"""),399)</f>
        <v>399</v>
      </c>
      <c r="B411" s="65" t="str">
        <f ca="1">IFERROR(__xludf.DUMMYFUNCTION("""COMPUTED_VALUE"""),"5112971")</f>
        <v>5112971</v>
      </c>
      <c r="C411" s="48" t="str">
        <f ca="1">IFERROR(__xludf.DUMMYFUNCTION("""COMPUTED_VALUE"""),"MAUFFRE")</f>
        <v>MAUFFRE</v>
      </c>
      <c r="D411" s="48" t="str">
        <f ca="1">IFERROR(__xludf.DUMMYFUNCTION("""COMPUTED_VALUE"""),"Hugo")</f>
        <v>Hugo</v>
      </c>
      <c r="E411" s="49" t="str">
        <f ca="1">IFERROR(__xludf.DUMMYFUNCTION("""COMPUTED_VALUE"""),"06510018")</f>
        <v>06510018</v>
      </c>
      <c r="F411" s="48" t="str">
        <f ca="1">IFERROR(__xludf.DUMMYFUNCTION("""COMPUTED_VALUE"""),"REIMS ASPTT")</f>
        <v>REIMS ASPTT</v>
      </c>
      <c r="G411" s="50" t="str">
        <f ca="1">IFERROR(__xludf.DUMMYFUNCTION("""COMPUTED_VALUE"""),"CD51")</f>
        <v>CD51</v>
      </c>
      <c r="H411" s="50" t="str">
        <f ca="1">IFERROR(__xludf.DUMMYFUNCTION("""COMPUTED_VALUE"""),"inactivité 2ème année")</f>
        <v>inactivité 2ème année</v>
      </c>
    </row>
    <row r="412" spans="1:8" ht="12.75">
      <c r="A412" s="46">
        <f ca="1">IFERROR(__xludf.DUMMYFUNCTION("""COMPUTED_VALUE"""),400)</f>
        <v>400</v>
      </c>
      <c r="B412" s="65" t="str">
        <f ca="1">IFERROR(__xludf.DUMMYFUNCTION("""COMPUTED_VALUE"""),"5723056")</f>
        <v>5723056</v>
      </c>
      <c r="C412" s="48" t="str">
        <f ca="1">IFERROR(__xludf.DUMMYFUNCTION("""COMPUTED_VALUE"""),"MAURER")</f>
        <v>MAURER</v>
      </c>
      <c r="D412" s="48" t="str">
        <f ca="1">IFERROR(__xludf.DUMMYFUNCTION("""COMPUTED_VALUE"""),"Mathieu")</f>
        <v>Mathieu</v>
      </c>
      <c r="E412" s="49" t="str">
        <f ca="1">IFERROR(__xludf.DUMMYFUNCTION("""COMPUTED_VALUE"""),"06570154")</f>
        <v>06570154</v>
      </c>
      <c r="F412" s="48" t="str">
        <f ca="1">IFERROR(__xludf.DUMMYFUNCTION("""COMPUTED_VALUE"""),"SAINT JEAN KOURTZERODE LJ")</f>
        <v>SAINT JEAN KOURTZERODE LJ</v>
      </c>
      <c r="G412" s="50" t="str">
        <f ca="1">IFERROR(__xludf.DUMMYFUNCTION("""COMPUTED_VALUE"""),"CD57")</f>
        <v>CD57</v>
      </c>
      <c r="H412" s="50" t="str">
        <f ca="1">IFERROR(__xludf.DUMMYFUNCTION("""COMPUTED_VALUE"""),"actif")</f>
        <v>actif</v>
      </c>
    </row>
    <row r="413" spans="1:8" ht="12.75">
      <c r="A413" s="46">
        <f ca="1">IFERROR(__xludf.DUMMYFUNCTION("""COMPUTED_VALUE"""),401)</f>
        <v>401</v>
      </c>
      <c r="B413" s="65" t="str">
        <f ca="1">IFERROR(__xludf.DUMMYFUNCTION("""COMPUTED_VALUE"""),"6710512")</f>
        <v>6710512</v>
      </c>
      <c r="C413" s="48" t="str">
        <f ca="1">IFERROR(__xludf.DUMMYFUNCTION("""COMPUTED_VALUE"""),"MAYER")</f>
        <v>MAYER</v>
      </c>
      <c r="D413" s="48" t="str">
        <f ca="1">IFERROR(__xludf.DUMMYFUNCTION("""COMPUTED_VALUE"""),"Jean-Marc")</f>
        <v>Jean-Marc</v>
      </c>
      <c r="E413" s="49" t="str">
        <f ca="1">IFERROR(__xludf.DUMMYFUNCTION("""COMPUTED_VALUE"""),"06670260")</f>
        <v>06670260</v>
      </c>
      <c r="F413" s="48" t="str">
        <f ca="1">IFERROR(__xludf.DUMMYFUNCTION("""COMPUTED_VALUE"""),"SARRE-UNION CTT")</f>
        <v>SARRE-UNION CTT</v>
      </c>
      <c r="G413" s="50" t="str">
        <f ca="1">IFERROR(__xludf.DUMMYFUNCTION("""COMPUTED_VALUE"""),"CD67")</f>
        <v>CD67</v>
      </c>
      <c r="H413" s="50" t="str">
        <f ca="1">IFERROR(__xludf.DUMMYFUNCTION("""COMPUTED_VALUE"""),"inactivité 1ère année")</f>
        <v>inactivité 1ère année</v>
      </c>
    </row>
    <row r="414" spans="1:8" ht="12.75">
      <c r="A414" s="46">
        <f ca="1">IFERROR(__xludf.DUMMYFUNCTION("""COMPUTED_VALUE"""),402)</f>
        <v>402</v>
      </c>
      <c r="B414" s="65" t="str">
        <f ca="1">IFERROR(__xludf.DUMMYFUNCTION("""COMPUTED_VALUE"""),"51812")</f>
        <v>51812</v>
      </c>
      <c r="C414" s="48" t="str">
        <f ca="1">IFERROR(__xludf.DUMMYFUNCTION("""COMPUTED_VALUE"""),"MAYEUX")</f>
        <v>MAYEUX</v>
      </c>
      <c r="D414" s="48" t="str">
        <f ca="1">IFERROR(__xludf.DUMMYFUNCTION("""COMPUTED_VALUE"""),"Yves")</f>
        <v>Yves</v>
      </c>
      <c r="E414" s="49" t="str">
        <f ca="1">IFERROR(__xludf.DUMMYFUNCTION("""COMPUTED_VALUE"""),"06510018")</f>
        <v>06510018</v>
      </c>
      <c r="F414" s="48" t="str">
        <f ca="1">IFERROR(__xludf.DUMMYFUNCTION("""COMPUTED_VALUE"""),"REIMS ASPTT")</f>
        <v>REIMS ASPTT</v>
      </c>
      <c r="G414" s="50" t="str">
        <f ca="1">IFERROR(__xludf.DUMMYFUNCTION("""COMPUTED_VALUE"""),"CD51")</f>
        <v>CD51</v>
      </c>
      <c r="H414" s="50" t="str">
        <f ca="1">IFERROR(__xludf.DUMMYFUNCTION("""COMPUTED_VALUE"""),"inactivité 2ème année")</f>
        <v>inactivité 2ème année</v>
      </c>
    </row>
    <row r="415" spans="1:8" ht="12.75">
      <c r="A415" s="46">
        <f ca="1">IFERROR(__xludf.DUMMYFUNCTION("""COMPUTED_VALUE"""),403)</f>
        <v>403</v>
      </c>
      <c r="B415" s="65" t="str">
        <f ca="1">IFERROR(__xludf.DUMMYFUNCTION("""COMPUTED_VALUE"""),"681447")</f>
        <v>681447</v>
      </c>
      <c r="C415" s="48" t="str">
        <f ca="1">IFERROR(__xludf.DUMMYFUNCTION("""COMPUTED_VALUE"""),"MEHR")</f>
        <v>MEHR</v>
      </c>
      <c r="D415" s="48" t="str">
        <f ca="1">IFERROR(__xludf.DUMMYFUNCTION("""COMPUTED_VALUE"""),"Guy")</f>
        <v>Guy</v>
      </c>
      <c r="E415" s="49" t="str">
        <f ca="1">IFERROR(__xludf.DUMMYFUNCTION("""COMPUTED_VALUE"""),"06680082")</f>
        <v>06680082</v>
      </c>
      <c r="F415" s="48" t="str">
        <f ca="1">IFERROR(__xludf.DUMMYFUNCTION("""COMPUTED_VALUE"""),"SAINT-LOUIS TT")</f>
        <v>SAINT-LOUIS TT</v>
      </c>
      <c r="G415" s="50" t="str">
        <f ca="1">IFERROR(__xludf.DUMMYFUNCTION("""COMPUTED_VALUE"""),"CD68")</f>
        <v>CD68</v>
      </c>
      <c r="H415" s="50" t="str">
        <f ca="1">IFERROR(__xludf.DUMMYFUNCTION("""COMPUTED_VALUE"""),"inactivité 3ème année")</f>
        <v>inactivité 3ème année</v>
      </c>
    </row>
    <row r="416" spans="1:8" ht="12.75">
      <c r="A416" s="46">
        <f ca="1">IFERROR(__xludf.DUMMYFUNCTION("""COMPUTED_VALUE"""),404)</f>
        <v>404</v>
      </c>
      <c r="B416" s="65" t="str">
        <f ca="1">IFERROR(__xludf.DUMMYFUNCTION("""COMPUTED_VALUE"""),"5732174")</f>
        <v>5732174</v>
      </c>
      <c r="C416" s="48" t="str">
        <f ca="1">IFERROR(__xludf.DUMMYFUNCTION("""COMPUTED_VALUE"""),"MEIGNEL")</f>
        <v>MEIGNEL</v>
      </c>
      <c r="D416" s="48" t="str">
        <f ca="1">IFERROR(__xludf.DUMMYFUNCTION("""COMPUTED_VALUE"""),"Sacha")</f>
        <v>Sacha</v>
      </c>
      <c r="E416" s="49" t="str">
        <f ca="1">IFERROR(__xludf.DUMMYFUNCTION("""COMPUTED_VALUE"""),"06570107")</f>
        <v>06570107</v>
      </c>
      <c r="F416" s="48" t="str">
        <f ca="1">IFERROR(__xludf.DUMMYFUNCTION("""COMPUTED_VALUE"""),"MAIZIÈRES-LÈS-METZ T.T.")</f>
        <v>MAIZIÈRES-LÈS-METZ T.T.</v>
      </c>
      <c r="G416" s="50" t="str">
        <f ca="1">IFERROR(__xludf.DUMMYFUNCTION("""COMPUTED_VALUE"""),"CD57")</f>
        <v>CD57</v>
      </c>
      <c r="H416" s="50" t="str">
        <f ca="1">IFERROR(__xludf.DUMMYFUNCTION("""COMPUTED_VALUE"""),"inactivité 2ème année")</f>
        <v>inactivité 2ème année</v>
      </c>
    </row>
    <row r="417" spans="1:8" ht="12.75">
      <c r="A417" s="46">
        <f ca="1">IFERROR(__xludf.DUMMYFUNCTION("""COMPUTED_VALUE"""),405)</f>
        <v>405</v>
      </c>
      <c r="B417" s="65" t="str">
        <f ca="1">IFERROR(__xludf.DUMMYFUNCTION("""COMPUTED_VALUE"""),"5733802")</f>
        <v>5733802</v>
      </c>
      <c r="C417" s="48" t="str">
        <f ca="1">IFERROR(__xludf.DUMMYFUNCTION("""COMPUTED_VALUE"""),"MELLARD")</f>
        <v>MELLARD</v>
      </c>
      <c r="D417" s="48" t="str">
        <f ca="1">IFERROR(__xludf.DUMMYFUNCTION("""COMPUTED_VALUE"""),"Quentin")</f>
        <v>Quentin</v>
      </c>
      <c r="E417" s="49" t="str">
        <f ca="1">IFERROR(__xludf.DUMMYFUNCTION("""COMPUTED_VALUE"""),"06570057")</f>
        <v>06570057</v>
      </c>
      <c r="F417" s="48" t="str">
        <f ca="1">IFERROR(__xludf.DUMMYFUNCTION("""COMPUTED_VALUE"""),"FREYMING-ST MAURICE LTDP")</f>
        <v>FREYMING-ST MAURICE LTDP</v>
      </c>
      <c r="G417" s="50" t="str">
        <f ca="1">IFERROR(__xludf.DUMMYFUNCTION("""COMPUTED_VALUE"""),"CD57")</f>
        <v>CD57</v>
      </c>
      <c r="H417" s="50" t="str">
        <f ca="1">IFERROR(__xludf.DUMMYFUNCTION("""COMPUTED_VALUE"""),"inactivité 3ème année")</f>
        <v>inactivité 3ème année</v>
      </c>
    </row>
    <row r="418" spans="1:8" ht="12.75">
      <c r="A418" s="46">
        <f ca="1">IFERROR(__xludf.DUMMYFUNCTION("""COMPUTED_VALUE"""),406)</f>
        <v>406</v>
      </c>
      <c r="B418" s="65" t="str">
        <f ca="1">IFERROR(__xludf.DUMMYFUNCTION("""COMPUTED_VALUE"""),"5115028")</f>
        <v>5115028</v>
      </c>
      <c r="C418" s="48" t="str">
        <f ca="1">IFERROR(__xludf.DUMMYFUNCTION("""COMPUTED_VALUE"""),"MENNECART")</f>
        <v>MENNECART</v>
      </c>
      <c r="D418" s="48" t="str">
        <f ca="1">IFERROR(__xludf.DUMMYFUNCTION("""COMPUTED_VALUE"""),"Antoine")</f>
        <v>Antoine</v>
      </c>
      <c r="E418" s="49" t="str">
        <f ca="1">IFERROR(__xludf.DUMMYFUNCTION("""COMPUTED_VALUE"""),"06510019")</f>
        <v>06510019</v>
      </c>
      <c r="F418" s="48" t="str">
        <f ca="1">IFERROR(__xludf.DUMMYFUNCTION("""COMPUTED_VALUE"""),"TAISSY ASTT")</f>
        <v>TAISSY ASTT</v>
      </c>
      <c r="G418" s="50" t="str">
        <f ca="1">IFERROR(__xludf.DUMMYFUNCTION("""COMPUTED_VALUE"""),"CD51")</f>
        <v>CD51</v>
      </c>
      <c r="H418" s="50" t="str">
        <f ca="1">IFERROR(__xludf.DUMMYFUNCTION("""COMPUTED_VALUE"""),"inactivité 2ème année")</f>
        <v>inactivité 2ème année</v>
      </c>
    </row>
    <row r="419" spans="1:8" ht="12.75">
      <c r="A419" s="46">
        <f ca="1">IFERROR(__xludf.DUMMYFUNCTION("""COMPUTED_VALUE"""),407)</f>
        <v>407</v>
      </c>
      <c r="B419" s="65" t="str">
        <f ca="1">IFERROR(__xludf.DUMMYFUNCTION("""COMPUTED_VALUE"""),"675178")</f>
        <v>675178</v>
      </c>
      <c r="C419" s="48" t="str">
        <f ca="1">IFERROR(__xludf.DUMMYFUNCTION("""COMPUTED_VALUE"""),"MESSEMER")</f>
        <v>MESSEMER</v>
      </c>
      <c r="D419" s="48" t="str">
        <f ca="1">IFERROR(__xludf.DUMMYFUNCTION("""COMPUTED_VALUE"""),"Eric")</f>
        <v>Eric</v>
      </c>
      <c r="E419" s="49" t="str">
        <f ca="1">IFERROR(__xludf.DUMMYFUNCTION("""COMPUTED_VALUE"""),"06670260")</f>
        <v>06670260</v>
      </c>
      <c r="F419" s="48" t="str">
        <f ca="1">IFERROR(__xludf.DUMMYFUNCTION("""COMPUTED_VALUE"""),"SARRE-UNION CTT")</f>
        <v>SARRE-UNION CTT</v>
      </c>
      <c r="G419" s="50" t="str">
        <f ca="1">IFERROR(__xludf.DUMMYFUNCTION("""COMPUTED_VALUE"""),"CD67")</f>
        <v>CD67</v>
      </c>
      <c r="H419" s="50" t="str">
        <f ca="1">IFERROR(__xludf.DUMMYFUNCTION("""COMPUTED_VALUE"""),"inactivité 1ère année")</f>
        <v>inactivité 1ère année</v>
      </c>
    </row>
    <row r="420" spans="1:8" ht="12.75">
      <c r="A420" s="46">
        <f ca="1">IFERROR(__xludf.DUMMYFUNCTION("""COMPUTED_VALUE"""),408)</f>
        <v>408</v>
      </c>
      <c r="B420" s="65" t="str">
        <f ca="1">IFERROR(__xludf.DUMMYFUNCTION("""COMPUTED_VALUE"""),"5726361")</f>
        <v>5726361</v>
      </c>
      <c r="C420" s="48" t="str">
        <f ca="1">IFERROR(__xludf.DUMMYFUNCTION("""COMPUTED_VALUE"""),"METZELER")</f>
        <v>METZELER</v>
      </c>
      <c r="D420" s="48" t="str">
        <f ca="1">IFERROR(__xludf.DUMMYFUNCTION("""COMPUTED_VALUE"""),"Enguerrand")</f>
        <v>Enguerrand</v>
      </c>
      <c r="E420" s="49" t="str">
        <f ca="1">IFERROR(__xludf.DUMMYFUNCTION("""COMPUTED_VALUE"""),"06570015")</f>
        <v>06570015</v>
      </c>
      <c r="F420" s="48" t="str">
        <f ca="1">IFERROR(__xludf.DUMMYFUNCTION("""COMPUTED_VALUE"""),"MONTIGNY LES METZ T.T.")</f>
        <v>MONTIGNY LES METZ T.T.</v>
      </c>
      <c r="G420" s="50" t="str">
        <f ca="1">IFERROR(__xludf.DUMMYFUNCTION("""COMPUTED_VALUE"""),"CD57")</f>
        <v>CD57</v>
      </c>
      <c r="H420" s="50" t="str">
        <f ca="1">IFERROR(__xludf.DUMMYFUNCTION("""COMPUTED_VALUE"""),"inactivité 1ère année")</f>
        <v>inactivité 1ère année</v>
      </c>
    </row>
    <row r="421" spans="1:8" ht="12.75">
      <c r="A421" s="46">
        <f ca="1">IFERROR(__xludf.DUMMYFUNCTION("""COMPUTED_VALUE"""),409)</f>
        <v>409</v>
      </c>
      <c r="B421" s="65" t="str">
        <f ca="1">IFERROR(__xludf.DUMMYFUNCTION("""COMPUTED_VALUE"""),"676275")</f>
        <v>676275</v>
      </c>
      <c r="C421" s="48" t="str">
        <f ca="1">IFERROR(__xludf.DUMMYFUNCTION("""COMPUTED_VALUE"""),"METZMEYER")</f>
        <v>METZMEYER</v>
      </c>
      <c r="D421" s="48" t="str">
        <f ca="1">IFERROR(__xludf.DUMMYFUNCTION("""COMPUTED_VALUE"""),"Jean")</f>
        <v>Jean</v>
      </c>
      <c r="E421" s="49" t="str">
        <f ca="1">IFERROR(__xludf.DUMMYFUNCTION("""COMPUTED_VALUE"""),"06670216")</f>
        <v>06670216</v>
      </c>
      <c r="F421" s="48" t="str">
        <f ca="1">IFERROR(__xludf.DUMMYFUNCTION("""COMPUTED_VALUE"""),"HOERDT T.T.")</f>
        <v>HOERDT T.T.</v>
      </c>
      <c r="G421" s="50" t="str">
        <f ca="1">IFERROR(__xludf.DUMMYFUNCTION("""COMPUTED_VALUE"""),"CD67")</f>
        <v>CD67</v>
      </c>
      <c r="H421" s="50" t="str">
        <f ca="1">IFERROR(__xludf.DUMMYFUNCTION("""COMPUTED_VALUE"""),"actif")</f>
        <v>actif</v>
      </c>
    </row>
    <row r="422" spans="1:8" ht="12.75">
      <c r="A422" s="46">
        <f ca="1">IFERROR(__xludf.DUMMYFUNCTION("""COMPUTED_VALUE"""),410)</f>
        <v>410</v>
      </c>
      <c r="B422" s="65" t="str">
        <f ca="1">IFERROR(__xludf.DUMMYFUNCTION("""COMPUTED_VALUE"""),"687578")</f>
        <v>687578</v>
      </c>
      <c r="C422" s="48" t="str">
        <f ca="1">IFERROR(__xludf.DUMMYFUNCTION("""COMPUTED_VALUE"""),"MEVEL")</f>
        <v>MEVEL</v>
      </c>
      <c r="D422" s="48" t="str">
        <f ca="1">IFERROR(__xludf.DUMMYFUNCTION("""COMPUTED_VALUE"""),"Yvon")</f>
        <v>Yvon</v>
      </c>
      <c r="E422" s="49" t="str">
        <f ca="1">IFERROR(__xludf.DUMMYFUNCTION("""COMPUTED_VALUE"""),"06680071")</f>
        <v>06680071</v>
      </c>
      <c r="F422" s="48" t="str">
        <f ca="1">IFERROR(__xludf.DUMMYFUNCTION("""COMPUTED_VALUE"""),"ISSENHEIM TT")</f>
        <v>ISSENHEIM TT</v>
      </c>
      <c r="G422" s="50" t="str">
        <f ca="1">IFERROR(__xludf.DUMMYFUNCTION("""COMPUTED_VALUE"""),"CD68")</f>
        <v>CD68</v>
      </c>
      <c r="H422" s="50" t="str">
        <f ca="1">IFERROR(__xludf.DUMMYFUNCTION("""COMPUTED_VALUE"""),"inactivité 2ème année")</f>
        <v>inactivité 2ème année</v>
      </c>
    </row>
    <row r="423" spans="1:8" ht="12.75">
      <c r="A423" s="46">
        <f ca="1">IFERROR(__xludf.DUMMYFUNCTION("""COMPUTED_VALUE"""),411)</f>
        <v>411</v>
      </c>
      <c r="B423" s="65" t="str">
        <f ca="1">IFERROR(__xludf.DUMMYFUNCTION("""COMPUTED_VALUE"""),"6719121")</f>
        <v>6719121</v>
      </c>
      <c r="C423" s="48" t="str">
        <f ca="1">IFERROR(__xludf.DUMMYFUNCTION("""COMPUTED_VALUE"""),"MEYER")</f>
        <v>MEYER</v>
      </c>
      <c r="D423" s="48" t="str">
        <f ca="1">IFERROR(__xludf.DUMMYFUNCTION("""COMPUTED_VALUE"""),"Valentin")</f>
        <v>Valentin</v>
      </c>
      <c r="E423" s="49" t="str">
        <f ca="1">IFERROR(__xludf.DUMMYFUNCTION("""COMPUTED_VALUE"""),"06670216")</f>
        <v>06670216</v>
      </c>
      <c r="F423" s="48" t="str">
        <f ca="1">IFERROR(__xludf.DUMMYFUNCTION("""COMPUTED_VALUE"""),"HOERDT T.T.")</f>
        <v>HOERDT T.T.</v>
      </c>
      <c r="G423" s="50" t="str">
        <f ca="1">IFERROR(__xludf.DUMMYFUNCTION("""COMPUTED_VALUE"""),"CD67")</f>
        <v>CD67</v>
      </c>
      <c r="H423" s="50" t="str">
        <f ca="1">IFERROR(__xludf.DUMMYFUNCTION("""COMPUTED_VALUE"""),"inactivité 1ère année")</f>
        <v>inactivité 1ère année</v>
      </c>
    </row>
    <row r="424" spans="1:8" ht="12.75">
      <c r="A424" s="46">
        <f ca="1">IFERROR(__xludf.DUMMYFUNCTION("""COMPUTED_VALUE"""),412)</f>
        <v>412</v>
      </c>
      <c r="B424" s="65" t="str">
        <f ca="1">IFERROR(__xludf.DUMMYFUNCTION("""COMPUTED_VALUE"""),"888428")</f>
        <v>888428</v>
      </c>
      <c r="C424" s="48" t="str">
        <f ca="1">IFERROR(__xludf.DUMMYFUNCTION("""COMPUTED_VALUE"""),"MEYERHOFF")</f>
        <v>MEYERHOFF</v>
      </c>
      <c r="D424" s="48" t="str">
        <f ca="1">IFERROR(__xludf.DUMMYFUNCTION("""COMPUTED_VALUE"""),"Willy")</f>
        <v>Willy</v>
      </c>
      <c r="E424" s="49" t="str">
        <f ca="1">IFERROR(__xludf.DUMMYFUNCTION("""COMPUTED_VALUE"""),"06880140")</f>
        <v>06880140</v>
      </c>
      <c r="F424" s="48" t="str">
        <f ca="1">IFERROR(__xludf.DUMMYFUNCTION("""COMPUTED_VALUE"""),"TENNIS DE TABLE THIAVILLE FR")</f>
        <v>TENNIS DE TABLE THIAVILLE FR</v>
      </c>
      <c r="G424" s="50" t="str">
        <f ca="1">IFERROR(__xludf.DUMMYFUNCTION("""COMPUTED_VALUE"""),"CD88")</f>
        <v>CD88</v>
      </c>
      <c r="H424" s="50" t="str">
        <f ca="1">IFERROR(__xludf.DUMMYFUNCTION("""COMPUTED_VALUE"""),"actif")</f>
        <v>actif</v>
      </c>
    </row>
    <row r="425" spans="1:8" ht="12.75">
      <c r="A425" s="46">
        <f ca="1">IFERROR(__xludf.DUMMYFUNCTION("""COMPUTED_VALUE"""),413)</f>
        <v>413</v>
      </c>
      <c r="B425" s="65" t="str">
        <f ca="1">IFERROR(__xludf.DUMMYFUNCTION("""COMPUTED_VALUE"""),"547584")</f>
        <v>547584</v>
      </c>
      <c r="C425" s="48" t="str">
        <f ca="1">IFERROR(__xludf.DUMMYFUNCTION("""COMPUTED_VALUE"""),"MICHEL")</f>
        <v>MICHEL</v>
      </c>
      <c r="D425" s="48" t="str">
        <f ca="1">IFERROR(__xludf.DUMMYFUNCTION("""COMPUTED_VALUE"""),"Alain")</f>
        <v>Alain</v>
      </c>
      <c r="E425" s="49" t="str">
        <f ca="1">IFERROR(__xludf.DUMMYFUNCTION("""COMPUTED_VALUE"""),"06540014")</f>
        <v>06540014</v>
      </c>
      <c r="F425" s="48" t="str">
        <f ca="1">IFERROR(__xludf.DUMMYFUNCTION("""COMPUTED_VALUE"""),"HERSERANGE ASTT")</f>
        <v>HERSERANGE ASTT</v>
      </c>
      <c r="G425" s="50" t="str">
        <f ca="1">IFERROR(__xludf.DUMMYFUNCTION("""COMPUTED_VALUE"""),"CD54")</f>
        <v>CD54</v>
      </c>
      <c r="H425" s="50" t="str">
        <f ca="1">IFERROR(__xludf.DUMMYFUNCTION("""COMPUTED_VALUE"""),"actif")</f>
        <v>actif</v>
      </c>
    </row>
    <row r="426" spans="1:8" ht="12.75">
      <c r="A426" s="46">
        <f ca="1">IFERROR(__xludf.DUMMYFUNCTION("""COMPUTED_VALUE"""),414)</f>
        <v>414</v>
      </c>
      <c r="B426" s="65" t="str">
        <f ca="1">IFERROR(__xludf.DUMMYFUNCTION("""COMPUTED_VALUE"""),"6728102")</f>
        <v>6728102</v>
      </c>
      <c r="C426" s="48" t="str">
        <f ca="1">IFERROR(__xludf.DUMMYFUNCTION("""COMPUTED_VALUE"""),"MILLET")</f>
        <v>MILLET</v>
      </c>
      <c r="D426" s="48" t="str">
        <f ca="1">IFERROR(__xludf.DUMMYFUNCTION("""COMPUTED_VALUE"""),"Matheis")</f>
        <v>Matheis</v>
      </c>
      <c r="E426" s="49" t="str">
        <f ca="1">IFERROR(__xludf.DUMMYFUNCTION("""COMPUTED_VALUE"""),"06670261")</f>
        <v>06670261</v>
      </c>
      <c r="F426" s="48" t="str">
        <f ca="1">IFERROR(__xludf.DUMMYFUNCTION("""COMPUTED_VALUE"""),"Avenir KOCHERSBERG TT")</f>
        <v>Avenir KOCHERSBERG TT</v>
      </c>
      <c r="G426" s="50" t="str">
        <f ca="1">IFERROR(__xludf.DUMMYFUNCTION("""COMPUTED_VALUE"""),"CD67")</f>
        <v>CD67</v>
      </c>
      <c r="H426" s="50" t="str">
        <f ca="1">IFERROR(__xludf.DUMMYFUNCTION("""COMPUTED_VALUE"""),"actif")</f>
        <v>actif</v>
      </c>
    </row>
    <row r="427" spans="1:8" ht="12.75">
      <c r="A427" s="46">
        <f ca="1">IFERROR(__xludf.DUMMYFUNCTION("""COMPUTED_VALUE"""),415)</f>
        <v>415</v>
      </c>
      <c r="B427" s="65" t="str">
        <f ca="1">IFERROR(__xludf.DUMMYFUNCTION("""COMPUTED_VALUE"""),"8810790")</f>
        <v>8810790</v>
      </c>
      <c r="C427" s="48" t="str">
        <f ca="1">IFERROR(__xludf.DUMMYFUNCTION("""COMPUTED_VALUE"""),"MILLIOTTE")</f>
        <v>MILLIOTTE</v>
      </c>
      <c r="D427" s="48" t="str">
        <f ca="1">IFERROR(__xludf.DUMMYFUNCTION("""COMPUTED_VALUE"""),"Thibaut")</f>
        <v>Thibaut</v>
      </c>
      <c r="E427" s="49" t="str">
        <f ca="1">IFERROR(__xludf.DUMMYFUNCTION("""COMPUTED_VALUE"""),"06880022")</f>
        <v>06880022</v>
      </c>
      <c r="F427" s="48" t="str">
        <f ca="1">IFERROR(__xludf.DUMMYFUNCTION("""COMPUTED_VALUE"""),"VITTEL SAINT REMY TT")</f>
        <v>VITTEL SAINT REMY TT</v>
      </c>
      <c r="G427" s="50" t="str">
        <f ca="1">IFERROR(__xludf.DUMMYFUNCTION("""COMPUTED_VALUE"""),"CD88")</f>
        <v>CD88</v>
      </c>
      <c r="H427" s="50" t="str">
        <f ca="1">IFERROR(__xludf.DUMMYFUNCTION("""COMPUTED_VALUE"""),"inactivité 3ème année")</f>
        <v>inactivité 3ème année</v>
      </c>
    </row>
    <row r="428" spans="1:8" ht="12.75">
      <c r="A428" s="46">
        <f ca="1">IFERROR(__xludf.DUMMYFUNCTION("""COMPUTED_VALUE"""),416)</f>
        <v>416</v>
      </c>
      <c r="B428" s="65" t="str">
        <f ca="1">IFERROR(__xludf.DUMMYFUNCTION("""COMPUTED_VALUE"""),"57347")</f>
        <v>57347</v>
      </c>
      <c r="C428" s="48" t="str">
        <f ca="1">IFERROR(__xludf.DUMMYFUNCTION("""COMPUTED_VALUE"""),"MISTLER")</f>
        <v>MISTLER</v>
      </c>
      <c r="D428" s="48" t="str">
        <f ca="1">IFERROR(__xludf.DUMMYFUNCTION("""COMPUTED_VALUE"""),"Christian")</f>
        <v>Christian</v>
      </c>
      <c r="E428" s="49" t="str">
        <f ca="1">IFERROR(__xludf.DUMMYFUNCTION("""COMPUTED_VALUE"""),"06570019")</f>
        <v>06570019</v>
      </c>
      <c r="F428" s="48" t="str">
        <f ca="1">IFERROR(__xludf.DUMMYFUNCTION("""COMPUTED_VALUE"""),"SAINT AVOLD C.T.T.")</f>
        <v>SAINT AVOLD C.T.T.</v>
      </c>
      <c r="G428" s="50" t="str">
        <f ca="1">IFERROR(__xludf.DUMMYFUNCTION("""COMPUTED_VALUE"""),"CD57")</f>
        <v>CD57</v>
      </c>
      <c r="H428" s="50" t="str">
        <f ca="1">IFERROR(__xludf.DUMMYFUNCTION("""COMPUTED_VALUE"""),"inactivité 1ère année")</f>
        <v>inactivité 1ère année</v>
      </c>
    </row>
    <row r="429" spans="1:8" ht="12.75">
      <c r="A429" s="46">
        <f ca="1">IFERROR(__xludf.DUMMYFUNCTION("""COMPUTED_VALUE"""),417)</f>
        <v>417</v>
      </c>
      <c r="B429" s="65" t="str">
        <f ca="1">IFERROR(__xludf.DUMMYFUNCTION("""COMPUTED_VALUE"""),"104572")</f>
        <v>104572</v>
      </c>
      <c r="C429" s="48" t="str">
        <f ca="1">IFERROR(__xludf.DUMMYFUNCTION("""COMPUTED_VALUE"""),"MODOLO")</f>
        <v>MODOLO</v>
      </c>
      <c r="D429" s="48" t="str">
        <f ca="1">IFERROR(__xludf.DUMMYFUNCTION("""COMPUTED_VALUE"""),"Thierry")</f>
        <v>Thierry</v>
      </c>
      <c r="E429" s="49" t="str">
        <f ca="1">IFERROR(__xludf.DUMMYFUNCTION("""COMPUTED_VALUE"""),"06100002")</f>
        <v>06100002</v>
      </c>
      <c r="F429" s="48" t="str">
        <f ca="1">IFERROR(__xludf.DUMMYFUNCTION("""COMPUTED_VALUE"""),"TROYES O.S - NOËS TT")</f>
        <v>TROYES O.S - NOËS TT</v>
      </c>
      <c r="G429" s="50" t="str">
        <f ca="1">IFERROR(__xludf.DUMMYFUNCTION("""COMPUTED_VALUE"""),"CD10")</f>
        <v>CD10</v>
      </c>
      <c r="H429" s="50" t="str">
        <f ca="1">IFERROR(__xludf.DUMMYFUNCTION("""COMPUTED_VALUE"""),"inactivité 3ème année")</f>
        <v>inactivité 3ème année</v>
      </c>
    </row>
    <row r="430" spans="1:8" ht="12.75">
      <c r="A430" s="46">
        <f ca="1">IFERROR(__xludf.DUMMYFUNCTION("""COMPUTED_VALUE"""),418)</f>
        <v>418</v>
      </c>
      <c r="B430" s="65" t="str">
        <f ca="1">IFERROR(__xludf.DUMMYFUNCTION("""COMPUTED_VALUE"""),"543961")</f>
        <v>543961</v>
      </c>
      <c r="C430" s="48" t="str">
        <f ca="1">IFERROR(__xludf.DUMMYFUNCTION("""COMPUTED_VALUE"""),"MONCIEU")</f>
        <v>MONCIEU</v>
      </c>
      <c r="D430" s="48" t="str">
        <f ca="1">IFERROR(__xludf.DUMMYFUNCTION("""COMPUTED_VALUE"""),"Thomas")</f>
        <v>Thomas</v>
      </c>
      <c r="E430" s="49" t="str">
        <f ca="1">IFERROR(__xludf.DUMMYFUNCTION("""COMPUTED_VALUE"""),"06540128")</f>
        <v>06540128</v>
      </c>
      <c r="F430" s="48" t="str">
        <f ca="1">IFERROR(__xludf.DUMMYFUNCTION("""COMPUTED_VALUE"""),"PONT A MOUSSON A.S.T.T.")</f>
        <v>PONT A MOUSSON A.S.T.T.</v>
      </c>
      <c r="G430" s="50" t="str">
        <f ca="1">IFERROR(__xludf.DUMMYFUNCTION("""COMPUTED_VALUE"""),"CD54")</f>
        <v>CD54</v>
      </c>
      <c r="H430" s="50" t="str">
        <f ca="1">IFERROR(__xludf.DUMMYFUNCTION("""COMPUTED_VALUE"""),"actif")</f>
        <v>actif</v>
      </c>
    </row>
    <row r="431" spans="1:8" ht="12.75">
      <c r="A431" s="46">
        <f ca="1">IFERROR(__xludf.DUMMYFUNCTION("""COMPUTED_VALUE"""),419)</f>
        <v>419</v>
      </c>
      <c r="B431" s="65" t="str">
        <f ca="1">IFERROR(__xludf.DUMMYFUNCTION("""COMPUTED_VALUE"""),"675630")</f>
        <v>675630</v>
      </c>
      <c r="C431" s="48" t="str">
        <f ca="1">IFERROR(__xludf.DUMMYFUNCTION("""COMPUTED_VALUE"""),"MONNIER")</f>
        <v>MONNIER</v>
      </c>
      <c r="D431" s="48" t="str">
        <f ca="1">IFERROR(__xludf.DUMMYFUNCTION("""COMPUTED_VALUE"""),"Jean-Paul")</f>
        <v>Jean-Paul</v>
      </c>
      <c r="E431" s="49" t="str">
        <f ca="1">IFERROR(__xludf.DUMMYFUNCTION("""COMPUTED_VALUE"""),"06670195")</f>
        <v>06670195</v>
      </c>
      <c r="F431" s="48" t="str">
        <f ca="1">IFERROR(__xludf.DUMMYFUNCTION("""COMPUTED_VALUE"""),"HANAU Tennis de Table")</f>
        <v>HANAU Tennis de Table</v>
      </c>
      <c r="G431" s="50" t="str">
        <f ca="1">IFERROR(__xludf.DUMMYFUNCTION("""COMPUTED_VALUE"""),"CD67")</f>
        <v>CD67</v>
      </c>
      <c r="H431" s="50" t="str">
        <f ca="1">IFERROR(__xludf.DUMMYFUNCTION("""COMPUTED_VALUE"""),"actif")</f>
        <v>actif</v>
      </c>
    </row>
    <row r="432" spans="1:8" ht="12.75">
      <c r="A432" s="46">
        <f ca="1">IFERROR(__xludf.DUMMYFUNCTION("""COMPUTED_VALUE"""),420)</f>
        <v>420</v>
      </c>
      <c r="B432" s="65" t="str">
        <f ca="1">IFERROR(__xludf.DUMMYFUNCTION("""COMPUTED_VALUE"""),"6720716")</f>
        <v>6720716</v>
      </c>
      <c r="C432" s="48" t="str">
        <f ca="1">IFERROR(__xludf.DUMMYFUNCTION("""COMPUTED_VALUE"""),"MONNIER")</f>
        <v>MONNIER</v>
      </c>
      <c r="D432" s="48" t="str">
        <f ca="1">IFERROR(__xludf.DUMMYFUNCTION("""COMPUTED_VALUE"""),"Ludovic")</f>
        <v>Ludovic</v>
      </c>
      <c r="E432" s="49" t="str">
        <f ca="1">IFERROR(__xludf.DUMMYFUNCTION("""COMPUTED_VALUE"""),"06670160")</f>
        <v>06670160</v>
      </c>
      <c r="F432" s="48" t="str">
        <f ca="1">IFERROR(__xludf.DUMMYFUNCTION("""COMPUTED_VALUE"""),"T.T.Haguenau Wissembourg")</f>
        <v>T.T.Haguenau Wissembourg</v>
      </c>
      <c r="G432" s="50" t="str">
        <f ca="1">IFERROR(__xludf.DUMMYFUNCTION("""COMPUTED_VALUE"""),"CD67")</f>
        <v>CD67</v>
      </c>
      <c r="H432" s="50" t="str">
        <f ca="1">IFERROR(__xludf.DUMMYFUNCTION("""COMPUTED_VALUE"""),"inactivité 1ère année")</f>
        <v>inactivité 1ère année</v>
      </c>
    </row>
    <row r="433" spans="1:8" ht="12.75">
      <c r="A433" s="46">
        <f ca="1">IFERROR(__xludf.DUMMYFUNCTION("""COMPUTED_VALUE"""),421)</f>
        <v>421</v>
      </c>
      <c r="B433" s="65" t="str">
        <f ca="1">IFERROR(__xludf.DUMMYFUNCTION("""COMPUTED_VALUE"""),"5413174")</f>
        <v>5413174</v>
      </c>
      <c r="C433" s="48" t="str">
        <f ca="1">IFERROR(__xludf.DUMMYFUNCTION("""COMPUTED_VALUE"""),"MONTAGNESE")</f>
        <v>MONTAGNESE</v>
      </c>
      <c r="D433" s="48" t="str">
        <f ca="1">IFERROR(__xludf.DUMMYFUNCTION("""COMPUTED_VALUE"""),"Stephan")</f>
        <v>Stephan</v>
      </c>
      <c r="E433" s="49" t="str">
        <f ca="1">IFERROR(__xludf.DUMMYFUNCTION("""COMPUTED_VALUE"""),"06510054")</f>
        <v>06510054</v>
      </c>
      <c r="F433" s="48" t="str">
        <f ca="1">IFERROR(__xludf.DUMMYFUNCTION("""COMPUTED_VALUE"""),"COMPERTRIX FTT")</f>
        <v>COMPERTRIX FTT</v>
      </c>
      <c r="G433" s="50" t="str">
        <f ca="1">IFERROR(__xludf.DUMMYFUNCTION("""COMPUTED_VALUE"""),"CD51")</f>
        <v>CD51</v>
      </c>
      <c r="H433" s="50" t="str">
        <f ca="1">IFERROR(__xludf.DUMMYFUNCTION("""COMPUTED_VALUE"""),"inactivité 2ème année")</f>
        <v>inactivité 2ème année</v>
      </c>
    </row>
    <row r="434" spans="1:8" ht="12.75">
      <c r="A434" s="46">
        <f ca="1">IFERROR(__xludf.DUMMYFUNCTION("""COMPUTED_VALUE"""),422)</f>
        <v>422</v>
      </c>
      <c r="B434" s="65" t="str">
        <f ca="1">IFERROR(__xludf.DUMMYFUNCTION("""COMPUTED_VALUE"""),"88686")</f>
        <v>88686</v>
      </c>
      <c r="C434" s="48" t="str">
        <f ca="1">IFERROR(__xludf.DUMMYFUNCTION("""COMPUTED_VALUE"""),"MONTRELAY")</f>
        <v>MONTRELAY</v>
      </c>
      <c r="D434" s="48" t="str">
        <f ca="1">IFERROR(__xludf.DUMMYFUNCTION("""COMPUTED_VALUE"""),"Louis")</f>
        <v>Louis</v>
      </c>
      <c r="E434" s="49" t="str">
        <f ca="1">IFERROR(__xludf.DUMMYFUNCTION("""COMPUTED_VALUE"""),"06880051")</f>
        <v>06880051</v>
      </c>
      <c r="F434" s="48" t="str">
        <f ca="1">IFERROR(__xludf.DUMMYFUNCTION("""COMPUTED_VALUE"""),"Raquette Golbéenne")</f>
        <v>Raquette Golbéenne</v>
      </c>
      <c r="G434" s="50" t="str">
        <f ca="1">IFERROR(__xludf.DUMMYFUNCTION("""COMPUTED_VALUE"""),"CD88")</f>
        <v>CD88</v>
      </c>
      <c r="H434" s="50" t="str">
        <f ca="1">IFERROR(__xludf.DUMMYFUNCTION("""COMPUTED_VALUE"""),"inactivité 3ème année")</f>
        <v>inactivité 3ème année</v>
      </c>
    </row>
    <row r="435" spans="1:8" ht="12.75">
      <c r="A435" s="46">
        <f ca="1">IFERROR(__xludf.DUMMYFUNCTION("""COMPUTED_VALUE"""),423)</f>
        <v>423</v>
      </c>
      <c r="B435" s="65" t="str">
        <f ca="1">IFERROR(__xludf.DUMMYFUNCTION("""COMPUTED_VALUE"""),"08246")</f>
        <v>08246</v>
      </c>
      <c r="C435" s="48" t="str">
        <f ca="1">IFERROR(__xludf.DUMMYFUNCTION("""COMPUTED_VALUE"""),"MORANT")</f>
        <v>MORANT</v>
      </c>
      <c r="D435" s="48" t="str">
        <f ca="1">IFERROR(__xludf.DUMMYFUNCTION("""COMPUTED_VALUE"""),"Jacky")</f>
        <v>Jacky</v>
      </c>
      <c r="E435" s="49" t="str">
        <f ca="1">IFERROR(__xludf.DUMMYFUNCTION("""COMPUTED_VALUE"""),"06080047")</f>
        <v>06080047</v>
      </c>
      <c r="F435" s="48" t="str">
        <f ca="1">IFERROR(__xludf.DUMMYFUNCTION("""COMPUTED_VALUE"""),"MONTCY NOTRE DAME PPC")</f>
        <v>MONTCY NOTRE DAME PPC</v>
      </c>
      <c r="G435" s="50" t="str">
        <f ca="1">IFERROR(__xludf.DUMMYFUNCTION("""COMPUTED_VALUE"""),"CD08")</f>
        <v>CD08</v>
      </c>
      <c r="H435" s="50" t="str">
        <f ca="1">IFERROR(__xludf.DUMMYFUNCTION("""COMPUTED_VALUE"""),"inactivité 3ème année")</f>
        <v>inactivité 3ème année</v>
      </c>
    </row>
    <row r="436" spans="1:8" ht="12.75">
      <c r="A436" s="46">
        <f ca="1">IFERROR(__xludf.DUMMYFUNCTION("""COMPUTED_VALUE"""),424)</f>
        <v>424</v>
      </c>
      <c r="B436" s="65" t="str">
        <f ca="1">IFERROR(__xludf.DUMMYFUNCTION("""COMPUTED_VALUE"""),"549598")</f>
        <v>549598</v>
      </c>
      <c r="C436" s="48" t="str">
        <f ca="1">IFERROR(__xludf.DUMMYFUNCTION("""COMPUTED_VALUE"""),"MOREAU")</f>
        <v>MOREAU</v>
      </c>
      <c r="D436" s="48" t="str">
        <f ca="1">IFERROR(__xludf.DUMMYFUNCTION("""COMPUTED_VALUE"""),"Didier")</f>
        <v>Didier</v>
      </c>
      <c r="E436" s="49" t="str">
        <f ca="1">IFERROR(__xludf.DUMMYFUNCTION("""COMPUTED_VALUE"""),"06540199")</f>
        <v>06540199</v>
      </c>
      <c r="F436" s="48" t="str">
        <f ca="1">IFERROR(__xludf.DUMMYFUNCTION("""COMPUTED_VALUE"""),"HOUDEMONT ATT")</f>
        <v>HOUDEMONT ATT</v>
      </c>
      <c r="G436" s="50" t="str">
        <f ca="1">IFERROR(__xludf.DUMMYFUNCTION("""COMPUTED_VALUE"""),"CD54")</f>
        <v>CD54</v>
      </c>
      <c r="H436" s="50" t="str">
        <f ca="1">IFERROR(__xludf.DUMMYFUNCTION("""COMPUTED_VALUE"""),"inactivité 1ère année")</f>
        <v>inactivité 1ère année</v>
      </c>
    </row>
    <row r="437" spans="1:8" ht="12.75">
      <c r="A437" s="46">
        <f ca="1">IFERROR(__xludf.DUMMYFUNCTION("""COMPUTED_VALUE"""),425)</f>
        <v>425</v>
      </c>
      <c r="B437" s="65" t="str">
        <f ca="1">IFERROR(__xludf.DUMMYFUNCTION("""COMPUTED_VALUE"""),"5412941")</f>
        <v>5412941</v>
      </c>
      <c r="C437" s="48" t="str">
        <f ca="1">IFERROR(__xludf.DUMMYFUNCTION("""COMPUTED_VALUE"""),"MORIN")</f>
        <v>MORIN</v>
      </c>
      <c r="D437" s="48" t="str">
        <f ca="1">IFERROR(__xludf.DUMMYFUNCTION("""COMPUTED_VALUE"""),"Caroline")</f>
        <v>Caroline</v>
      </c>
      <c r="E437" s="49" t="str">
        <f ca="1">IFERROR(__xludf.DUMMYFUNCTION("""COMPUTED_VALUE"""),"06540001")</f>
        <v>06540001</v>
      </c>
      <c r="F437" s="48" t="str">
        <f ca="1">IFERROR(__xludf.DUMMYFUNCTION("""COMPUTED_VALUE"""),"BLAINVILLE DAMELEVIERES AC")</f>
        <v>BLAINVILLE DAMELEVIERES AC</v>
      </c>
      <c r="G437" s="50" t="str">
        <f ca="1">IFERROR(__xludf.DUMMYFUNCTION("""COMPUTED_VALUE"""),"CD54")</f>
        <v>CD54</v>
      </c>
      <c r="H437" s="50" t="str">
        <f ca="1">IFERROR(__xludf.DUMMYFUNCTION("""COMPUTED_VALUE"""),"inactivité 2ème année")</f>
        <v>inactivité 2ème année</v>
      </c>
    </row>
    <row r="438" spans="1:8" ht="12.75">
      <c r="A438" s="46">
        <f ca="1">IFERROR(__xludf.DUMMYFUNCTION("""COMPUTED_VALUE"""),426)</f>
        <v>426</v>
      </c>
      <c r="B438" s="65" t="str">
        <f ca="1">IFERROR(__xludf.DUMMYFUNCTION("""COMPUTED_VALUE"""),"5431429")</f>
        <v>5431429</v>
      </c>
      <c r="C438" s="48" t="str">
        <f ca="1">IFERROR(__xludf.DUMMYFUNCTION("""COMPUTED_VALUE"""),"MULLER")</f>
        <v>MULLER</v>
      </c>
      <c r="D438" s="48" t="str">
        <f ca="1">IFERROR(__xludf.DUMMYFUNCTION("""COMPUTED_VALUE"""),"Gauthier")</f>
        <v>Gauthier</v>
      </c>
      <c r="E438" s="49" t="str">
        <f ca="1">IFERROR(__xludf.DUMMYFUNCTION("""COMPUTED_VALUE"""),"06540040")</f>
        <v>06540040</v>
      </c>
      <c r="F438" s="48" t="str">
        <f ca="1">IFERROR(__xludf.DUMMYFUNCTION("""COMPUTED_VALUE"""),"VILLERS LES NANCY C.O.S.")</f>
        <v>VILLERS LES NANCY C.O.S.</v>
      </c>
      <c r="G438" s="50" t="str">
        <f ca="1">IFERROR(__xludf.DUMMYFUNCTION("""COMPUTED_VALUE"""),"CD54")</f>
        <v>CD54</v>
      </c>
      <c r="H438" s="50" t="str">
        <f ca="1">IFERROR(__xludf.DUMMYFUNCTION("""COMPUTED_VALUE"""),"actif")</f>
        <v>actif</v>
      </c>
    </row>
    <row r="439" spans="1:8" ht="12.75">
      <c r="A439" s="46">
        <f ca="1">IFERROR(__xludf.DUMMYFUNCTION("""COMPUTED_VALUE"""),427)</f>
        <v>427</v>
      </c>
      <c r="B439" s="65" t="str">
        <f ca="1">IFERROR(__xludf.DUMMYFUNCTION("""COMPUTED_VALUE"""),"685738")</f>
        <v>685738</v>
      </c>
      <c r="C439" s="48" t="str">
        <f ca="1">IFERROR(__xludf.DUMMYFUNCTION("""COMPUTED_VALUE"""),"NAST")</f>
        <v>NAST</v>
      </c>
      <c r="D439" s="48" t="str">
        <f ca="1">IFERROR(__xludf.DUMMYFUNCTION("""COMPUTED_VALUE"""),"Yves")</f>
        <v>Yves</v>
      </c>
      <c r="E439" s="49" t="str">
        <f ca="1">IFERROR(__xludf.DUMMYFUNCTION("""COMPUTED_VALUE"""),"06680116")</f>
        <v>06680116</v>
      </c>
      <c r="F439" s="48" t="str">
        <f ca="1">IFERROR(__xludf.DUMMYFUNCTION("""COMPUTED_VALUE"""),"WINTZFELDEN TT")</f>
        <v>WINTZFELDEN TT</v>
      </c>
      <c r="G439" s="50" t="str">
        <f ca="1">IFERROR(__xludf.DUMMYFUNCTION("""COMPUTED_VALUE"""),"CD68")</f>
        <v>CD68</v>
      </c>
      <c r="H439" s="50" t="str">
        <f ca="1">IFERROR(__xludf.DUMMYFUNCTION("""COMPUTED_VALUE"""),"inactivité 2ème année")</f>
        <v>inactivité 2ème année</v>
      </c>
    </row>
    <row r="440" spans="1:8" ht="12.75">
      <c r="A440" s="46">
        <f ca="1">IFERROR(__xludf.DUMMYFUNCTION("""COMPUTED_VALUE"""),428)</f>
        <v>428</v>
      </c>
      <c r="B440" s="65" t="str">
        <f ca="1">IFERROR(__xludf.DUMMYFUNCTION("""COMPUTED_VALUE"""),"545066")</f>
        <v>545066</v>
      </c>
      <c r="C440" s="48" t="str">
        <f ca="1">IFERROR(__xludf.DUMMYFUNCTION("""COMPUTED_VALUE"""),"NAUDIN")</f>
        <v>NAUDIN</v>
      </c>
      <c r="D440" s="48" t="str">
        <f ca="1">IFERROR(__xludf.DUMMYFUNCTION("""COMPUTED_VALUE"""),"Christophe")</f>
        <v>Christophe</v>
      </c>
      <c r="E440" s="49" t="str">
        <f ca="1">IFERROR(__xludf.DUMMYFUNCTION("""COMPUTED_VALUE"""),"06540088")</f>
        <v>06540088</v>
      </c>
      <c r="F440" s="48" t="str">
        <f ca="1">IFERROR(__xludf.DUMMYFUNCTION("""COMPUTED_VALUE"""),"CHANTEHEUX TT")</f>
        <v>CHANTEHEUX TT</v>
      </c>
      <c r="G440" s="50" t="str">
        <f ca="1">IFERROR(__xludf.DUMMYFUNCTION("""COMPUTED_VALUE"""),"CD54")</f>
        <v>CD54</v>
      </c>
      <c r="H440" s="50" t="str">
        <f ca="1">IFERROR(__xludf.DUMMYFUNCTION("""COMPUTED_VALUE"""),"inactivité 1ère année")</f>
        <v>inactivité 1ère année</v>
      </c>
    </row>
    <row r="441" spans="1:8" ht="12.75">
      <c r="A441" s="46">
        <f ca="1">IFERROR(__xludf.DUMMYFUNCTION("""COMPUTED_VALUE"""),429)</f>
        <v>429</v>
      </c>
      <c r="B441" s="65" t="str">
        <f ca="1">IFERROR(__xludf.DUMMYFUNCTION("""COMPUTED_VALUE"""),"681127")</f>
        <v>681127</v>
      </c>
      <c r="C441" s="48" t="str">
        <f ca="1">IFERROR(__xludf.DUMMYFUNCTION("""COMPUTED_VALUE"""),"NAUDIN")</f>
        <v>NAUDIN</v>
      </c>
      <c r="D441" s="48" t="str">
        <f ca="1">IFERROR(__xludf.DUMMYFUNCTION("""COMPUTED_VALUE"""),"Bertrand")</f>
        <v>Bertrand</v>
      </c>
      <c r="E441" s="49" t="str">
        <f ca="1">IFERROR(__xludf.DUMMYFUNCTION("""COMPUTED_VALUE"""),"06680118")</f>
        <v>06680118</v>
      </c>
      <c r="F441" s="48" t="str">
        <f ca="1">IFERROR(__xludf.DUMMYFUNCTION("""COMPUTED_VALUE"""),"WITTELSHEIM MDPA TT")</f>
        <v>WITTELSHEIM MDPA TT</v>
      </c>
      <c r="G441" s="50" t="str">
        <f ca="1">IFERROR(__xludf.DUMMYFUNCTION("""COMPUTED_VALUE"""),"CD68")</f>
        <v>CD68</v>
      </c>
      <c r="H441" s="50" t="str">
        <f ca="1">IFERROR(__xludf.DUMMYFUNCTION("""COMPUTED_VALUE"""),"actif")</f>
        <v>actif</v>
      </c>
    </row>
    <row r="442" spans="1:8" ht="12.75">
      <c r="A442" s="46">
        <f ca="1">IFERROR(__xludf.DUMMYFUNCTION("""COMPUTED_VALUE"""),430)</f>
        <v>430</v>
      </c>
      <c r="B442" s="65" t="str">
        <f ca="1">IFERROR(__xludf.DUMMYFUNCTION("""COMPUTED_VALUE"""),"5413857")</f>
        <v>5413857</v>
      </c>
      <c r="C442" s="48" t="str">
        <f ca="1">IFERROR(__xludf.DUMMYFUNCTION("""COMPUTED_VALUE"""),"NAUDIN")</f>
        <v>NAUDIN</v>
      </c>
      <c r="D442" s="48" t="str">
        <f ca="1">IFERROR(__xludf.DUMMYFUNCTION("""COMPUTED_VALUE"""),"Jean Pierre")</f>
        <v>Jean Pierre</v>
      </c>
      <c r="E442" s="49" t="str">
        <f ca="1">IFERROR(__xludf.DUMMYFUNCTION("""COMPUTED_VALUE"""),"06540088")</f>
        <v>06540088</v>
      </c>
      <c r="F442" s="48" t="str">
        <f ca="1">IFERROR(__xludf.DUMMYFUNCTION("""COMPUTED_VALUE"""),"CHANTEHEUX TT")</f>
        <v>CHANTEHEUX TT</v>
      </c>
      <c r="G442" s="50" t="str">
        <f ca="1">IFERROR(__xludf.DUMMYFUNCTION("""COMPUTED_VALUE"""),"CD54")</f>
        <v>CD54</v>
      </c>
      <c r="H442" s="50" t="str">
        <f ca="1">IFERROR(__xludf.DUMMYFUNCTION("""COMPUTED_VALUE"""),"actif")</f>
        <v>actif</v>
      </c>
    </row>
    <row r="443" spans="1:8" ht="12.75">
      <c r="A443" s="46">
        <f ca="1">IFERROR(__xludf.DUMMYFUNCTION("""COMPUTED_VALUE"""),431)</f>
        <v>431</v>
      </c>
      <c r="B443" s="65" t="str">
        <f ca="1">IFERROR(__xludf.DUMMYFUNCTION("""COMPUTED_VALUE"""),"8811147")</f>
        <v>8811147</v>
      </c>
      <c r="C443" s="48" t="str">
        <f ca="1">IFERROR(__xludf.DUMMYFUNCTION("""COMPUTED_VALUE"""),"NICOLAS")</f>
        <v>NICOLAS</v>
      </c>
      <c r="D443" s="48" t="str">
        <f ca="1">IFERROR(__xludf.DUMMYFUNCTION("""COMPUTED_VALUE"""),"Remi")</f>
        <v>Remi</v>
      </c>
      <c r="E443" s="49" t="str">
        <f ca="1">IFERROR(__xludf.DUMMYFUNCTION("""COMPUTED_VALUE"""),"06880071")</f>
        <v>06880071</v>
      </c>
      <c r="F443" s="48" t="str">
        <f ca="1">IFERROR(__xludf.DUMMYFUNCTION("""COMPUTED_VALUE"""),"EPINAL T.S.P.")</f>
        <v>EPINAL T.S.P.</v>
      </c>
      <c r="G443" s="50" t="str">
        <f ca="1">IFERROR(__xludf.DUMMYFUNCTION("""COMPUTED_VALUE"""),"CD88")</f>
        <v>CD88</v>
      </c>
      <c r="H443" s="50" t="str">
        <f ca="1">IFERROR(__xludf.DUMMYFUNCTION("""COMPUTED_VALUE"""),"inactivité 2ème année")</f>
        <v>inactivité 2ème année</v>
      </c>
    </row>
    <row r="444" spans="1:8" ht="12.75">
      <c r="A444" s="46">
        <f ca="1">IFERROR(__xludf.DUMMYFUNCTION("""COMPUTED_VALUE"""),432)</f>
        <v>432</v>
      </c>
      <c r="B444" s="65" t="str">
        <f ca="1">IFERROR(__xludf.DUMMYFUNCTION("""COMPUTED_VALUE"""),"579059")</f>
        <v>579059</v>
      </c>
      <c r="C444" s="48" t="str">
        <f ca="1">IFERROR(__xludf.DUMMYFUNCTION("""COMPUTED_VALUE"""),"NOMINE")</f>
        <v>NOMINE</v>
      </c>
      <c r="D444" s="48" t="str">
        <f ca="1">IFERROR(__xludf.DUMMYFUNCTION("""COMPUTED_VALUE"""),"Francoise")</f>
        <v>Francoise</v>
      </c>
      <c r="E444" s="49" t="str">
        <f ca="1">IFERROR(__xludf.DUMMYFUNCTION("""COMPUTED_VALUE"""),"06570029")</f>
        <v>06570029</v>
      </c>
      <c r="F444" s="48" t="str">
        <f ca="1">IFERROR(__xludf.DUMMYFUNCTION("""COMPUTED_VALUE"""),"WILLERWALD A.S.")</f>
        <v>WILLERWALD A.S.</v>
      </c>
      <c r="G444" s="50" t="str">
        <f ca="1">IFERROR(__xludf.DUMMYFUNCTION("""COMPUTED_VALUE"""),"CD57")</f>
        <v>CD57</v>
      </c>
      <c r="H444" s="50" t="str">
        <f ca="1">IFERROR(__xludf.DUMMYFUNCTION("""COMPUTED_VALUE"""),"actif")</f>
        <v>actif</v>
      </c>
    </row>
    <row r="445" spans="1:8" ht="12.75">
      <c r="A445" s="46">
        <f ca="1">IFERROR(__xludf.DUMMYFUNCTION("""COMPUTED_VALUE"""),433)</f>
        <v>433</v>
      </c>
      <c r="B445" s="65" t="str">
        <f ca="1">IFERROR(__xludf.DUMMYFUNCTION("""COMPUTED_VALUE"""),"0814286")</f>
        <v>0814286</v>
      </c>
      <c r="C445" s="48" t="str">
        <f ca="1">IFERROR(__xludf.DUMMYFUNCTION("""COMPUTED_VALUE"""),"NORMAND")</f>
        <v>NORMAND</v>
      </c>
      <c r="D445" s="48" t="str">
        <f ca="1">IFERROR(__xludf.DUMMYFUNCTION("""COMPUTED_VALUE"""),"Audrey")</f>
        <v>Audrey</v>
      </c>
      <c r="E445" s="49" t="str">
        <f ca="1">IFERROR(__xludf.DUMMYFUNCTION("""COMPUTED_VALUE"""),"06080013")</f>
        <v>06080013</v>
      </c>
      <c r="F445" s="48" t="str">
        <f ca="1">IFERROR(__xludf.DUMMYFUNCTION("""COMPUTED_VALUE"""),"TAGNON PPC")</f>
        <v>TAGNON PPC</v>
      </c>
      <c r="G445" s="50" t="str">
        <f ca="1">IFERROR(__xludf.DUMMYFUNCTION("""COMPUTED_VALUE"""),"CD08")</f>
        <v>CD08</v>
      </c>
      <c r="H445" s="50" t="str">
        <f ca="1">IFERROR(__xludf.DUMMYFUNCTION("""COMPUTED_VALUE"""),"inactivité 2ème année")</f>
        <v>inactivité 2ème année</v>
      </c>
    </row>
    <row r="446" spans="1:8" ht="12.75">
      <c r="A446" s="46">
        <f ca="1">IFERROR(__xludf.DUMMYFUNCTION("""COMPUTED_VALUE"""),434)</f>
        <v>434</v>
      </c>
      <c r="B446" s="65" t="str">
        <f ca="1">IFERROR(__xludf.DUMMYFUNCTION("""COMPUTED_VALUE"""),"6715512")</f>
        <v>6715512</v>
      </c>
      <c r="C446" s="48" t="str">
        <f ca="1">IFERROR(__xludf.DUMMYFUNCTION("""COMPUTED_VALUE"""),"OFFNER")</f>
        <v>OFFNER</v>
      </c>
      <c r="D446" s="71" t="str">
        <f ca="1">IFERROR(__xludf.DUMMYFUNCTION("""COMPUTED_VALUE"""),"Marlise")</f>
        <v>Marlise</v>
      </c>
      <c r="E446" s="73" t="str">
        <f ca="1">IFERROR(__xludf.DUMMYFUNCTION("""COMPUTED_VALUE"""),"06670041")</f>
        <v>06670041</v>
      </c>
      <c r="F446" s="72" t="str">
        <f ca="1">IFERROR(__xludf.DUMMYFUNCTION("""COMPUTED_VALUE"""),"ZORN TT HOCHFELDEN")</f>
        <v>ZORN TT HOCHFELDEN</v>
      </c>
      <c r="G446" s="52" t="str">
        <f ca="1">IFERROR(__xludf.DUMMYFUNCTION("""COMPUTED_VALUE"""),"CD67")</f>
        <v>CD67</v>
      </c>
      <c r="H446" s="52" t="str">
        <f ca="1">IFERROR(__xludf.DUMMYFUNCTION("""COMPUTED_VALUE"""),"actif")</f>
        <v>actif</v>
      </c>
    </row>
    <row r="447" spans="1:8" ht="12.75">
      <c r="A447" s="46">
        <f ca="1">IFERROR(__xludf.DUMMYFUNCTION("""COMPUTED_VALUE"""),435)</f>
        <v>435</v>
      </c>
      <c r="B447" s="65" t="str">
        <f ca="1">IFERROR(__xludf.DUMMYFUNCTION("""COMPUTED_VALUE"""),"674514")</f>
        <v>674514</v>
      </c>
      <c r="C447" s="48" t="str">
        <f ca="1">IFERROR(__xludf.DUMMYFUNCTION("""COMPUTED_VALUE"""),"OFFNER")</f>
        <v>OFFNER</v>
      </c>
      <c r="D447" s="48" t="str">
        <f ca="1">IFERROR(__xludf.DUMMYFUNCTION("""COMPUTED_VALUE"""),"Sebastien")</f>
        <v>Sebastien</v>
      </c>
      <c r="E447" s="49" t="str">
        <f ca="1">IFERROR(__xludf.DUMMYFUNCTION("""COMPUTED_VALUE"""),"06670221")</f>
        <v>06670221</v>
      </c>
      <c r="F447" s="48" t="str">
        <f ca="1">IFERROR(__xludf.DUMMYFUNCTION("""COMPUTED_VALUE"""),"BARR Tennis de Table")</f>
        <v>BARR Tennis de Table</v>
      </c>
      <c r="G447" s="50" t="str">
        <f ca="1">IFERROR(__xludf.DUMMYFUNCTION("""COMPUTED_VALUE"""),"CD67")</f>
        <v>CD67</v>
      </c>
      <c r="H447" s="50" t="str">
        <f ca="1">IFERROR(__xludf.DUMMYFUNCTION("""COMPUTED_VALUE"""),"inactivité 3ème année")</f>
        <v>inactivité 3ème année</v>
      </c>
    </row>
    <row r="448" spans="1:8" ht="12.75">
      <c r="A448" s="46">
        <f ca="1">IFERROR(__xludf.DUMMYFUNCTION("""COMPUTED_VALUE"""),436)</f>
        <v>436</v>
      </c>
      <c r="B448" s="65" t="str">
        <f ca="1">IFERROR(__xludf.DUMMYFUNCTION("""COMPUTED_VALUE"""),"514856")</f>
        <v>514856</v>
      </c>
      <c r="C448" s="48" t="str">
        <f ca="1">IFERROR(__xludf.DUMMYFUNCTION("""COMPUTED_VALUE"""),"OLLIVIER")</f>
        <v>OLLIVIER</v>
      </c>
      <c r="D448" s="48" t="str">
        <f ca="1">IFERROR(__xludf.DUMMYFUNCTION("""COMPUTED_VALUE"""),"Alain Lucien")</f>
        <v>Alain Lucien</v>
      </c>
      <c r="E448" s="49" t="str">
        <f ca="1">IFERROR(__xludf.DUMMYFUNCTION("""COMPUTED_VALUE"""),"06510071")</f>
        <v>06510071</v>
      </c>
      <c r="F448" s="48" t="str">
        <f ca="1">IFERROR(__xludf.DUMMYFUNCTION("""COMPUTED_VALUE"""),"FRIGNICOURT PING PONG CLUB")</f>
        <v>FRIGNICOURT PING PONG CLUB</v>
      </c>
      <c r="G448" s="50" t="str">
        <f ca="1">IFERROR(__xludf.DUMMYFUNCTION("""COMPUTED_VALUE"""),"CD51")</f>
        <v>CD51</v>
      </c>
      <c r="H448" s="50" t="str">
        <f ca="1">IFERROR(__xludf.DUMMYFUNCTION("""COMPUTED_VALUE"""),"inactivité 2ème année")</f>
        <v>inactivité 2ème année</v>
      </c>
    </row>
    <row r="449" spans="1:8" ht="12.75">
      <c r="A449" s="46">
        <f ca="1">IFERROR(__xludf.DUMMYFUNCTION("""COMPUTED_VALUE"""),437)</f>
        <v>437</v>
      </c>
      <c r="B449" s="65" t="str">
        <f ca="1">IFERROR(__xludf.DUMMYFUNCTION("""COMPUTED_VALUE"""),"575247")</f>
        <v>575247</v>
      </c>
      <c r="C449" s="48" t="str">
        <f ca="1">IFERROR(__xludf.DUMMYFUNCTION("""COMPUTED_VALUE"""),"OMLOR")</f>
        <v>OMLOR</v>
      </c>
      <c r="D449" s="48" t="str">
        <f ca="1">IFERROR(__xludf.DUMMYFUNCTION("""COMPUTED_VALUE"""),"Aloyse")</f>
        <v>Aloyse</v>
      </c>
      <c r="E449" s="49" t="str">
        <f ca="1">IFERROR(__xludf.DUMMYFUNCTION("""COMPUTED_VALUE"""),"06570019")</f>
        <v>06570019</v>
      </c>
      <c r="F449" s="48" t="str">
        <f ca="1">IFERROR(__xludf.DUMMYFUNCTION("""COMPUTED_VALUE"""),"SAINT AVOLD C.T.T.")</f>
        <v>SAINT AVOLD C.T.T.</v>
      </c>
      <c r="G449" s="50" t="str">
        <f ca="1">IFERROR(__xludf.DUMMYFUNCTION("""COMPUTED_VALUE"""),"CD57")</f>
        <v>CD57</v>
      </c>
      <c r="H449" s="50" t="str">
        <f ca="1">IFERROR(__xludf.DUMMYFUNCTION("""COMPUTED_VALUE"""),"actif")</f>
        <v>actif</v>
      </c>
    </row>
    <row r="450" spans="1:8" ht="12.75">
      <c r="A450" s="46">
        <f ca="1">IFERROR(__xludf.DUMMYFUNCTION("""COMPUTED_VALUE"""),438)</f>
        <v>438</v>
      </c>
      <c r="B450" s="65" t="str">
        <f ca="1">IFERROR(__xludf.DUMMYFUNCTION("""COMPUTED_VALUE"""),"67395")</f>
        <v>67395</v>
      </c>
      <c r="C450" s="48" t="str">
        <f ca="1">IFERROR(__xludf.DUMMYFUNCTION("""COMPUTED_VALUE"""),"OPPEL")</f>
        <v>OPPEL</v>
      </c>
      <c r="D450" s="48" t="str">
        <f ca="1">IFERROR(__xludf.DUMMYFUNCTION("""COMPUTED_VALUE"""),"Claude")</f>
        <v>Claude</v>
      </c>
      <c r="E450" s="49" t="str">
        <f ca="1">IFERROR(__xludf.DUMMYFUNCTION("""COMPUTED_VALUE"""),"06670010")</f>
        <v>06670010</v>
      </c>
      <c r="F450" s="48" t="str">
        <f ca="1">IFERROR(__xludf.DUMMYFUNCTION("""COMPUTED_VALUE"""),"SCHILTIGHEIM SU TT")</f>
        <v>SCHILTIGHEIM SU TT</v>
      </c>
      <c r="G450" s="50" t="str">
        <f ca="1">IFERROR(__xludf.DUMMYFUNCTION("""COMPUTED_VALUE"""),"CD67")</f>
        <v>CD67</v>
      </c>
      <c r="H450" s="50" t="str">
        <f ca="1">IFERROR(__xludf.DUMMYFUNCTION("""COMPUTED_VALUE"""),"inactivité 2ème année")</f>
        <v>inactivité 2ème année</v>
      </c>
    </row>
    <row r="451" spans="1:8" ht="12.75">
      <c r="A451" s="46">
        <f ca="1">IFERROR(__xludf.DUMMYFUNCTION("""COMPUTED_VALUE"""),439)</f>
        <v>439</v>
      </c>
      <c r="B451" s="65" t="str">
        <f ca="1">IFERROR(__xludf.DUMMYFUNCTION("""COMPUTED_VALUE"""),"68229")</f>
        <v>68229</v>
      </c>
      <c r="C451" s="48" t="str">
        <f ca="1">IFERROR(__xludf.DUMMYFUNCTION("""COMPUTED_VALUE"""),"OSER")</f>
        <v>OSER</v>
      </c>
      <c r="D451" s="48" t="str">
        <f ca="1">IFERROR(__xludf.DUMMYFUNCTION("""COMPUTED_VALUE"""),"Regine")</f>
        <v>Regine</v>
      </c>
      <c r="E451" s="49" t="str">
        <f ca="1">IFERROR(__xludf.DUMMYFUNCTION("""COMPUTED_VALUE"""),"06680105")</f>
        <v>06680105</v>
      </c>
      <c r="F451" s="48" t="str">
        <f ca="1">IFERROR(__xludf.DUMMYFUNCTION("""COMPUTED_VALUE"""),"MULHOUSE TENNIS DE TABLE")</f>
        <v>MULHOUSE TENNIS DE TABLE</v>
      </c>
      <c r="G451" s="50" t="str">
        <f ca="1">IFERROR(__xludf.DUMMYFUNCTION("""COMPUTED_VALUE"""),"CD68")</f>
        <v>CD68</v>
      </c>
      <c r="H451" s="50" t="str">
        <f ca="1">IFERROR(__xludf.DUMMYFUNCTION("""COMPUTED_VALUE"""),"inactivité 1ère année")</f>
        <v>inactivité 1ère année</v>
      </c>
    </row>
    <row r="452" spans="1:8" ht="12.75">
      <c r="A452" s="46">
        <f ca="1">IFERROR(__xludf.DUMMYFUNCTION("""COMPUTED_VALUE"""),440)</f>
        <v>440</v>
      </c>
      <c r="B452" s="65" t="str">
        <f ca="1">IFERROR(__xludf.DUMMYFUNCTION("""COMPUTED_VALUE"""),"67245")</f>
        <v>67245</v>
      </c>
      <c r="C452" s="48" t="str">
        <f ca="1">IFERROR(__xludf.DUMMYFUNCTION("""COMPUTED_VALUE"""),"OTT")</f>
        <v>OTT</v>
      </c>
      <c r="D452" s="48" t="str">
        <f ca="1">IFERROR(__xludf.DUMMYFUNCTION("""COMPUTED_VALUE"""),"Remy")</f>
        <v>Remy</v>
      </c>
      <c r="E452" s="49" t="str">
        <f ca="1">IFERROR(__xludf.DUMMYFUNCTION("""COMPUTED_VALUE"""),"06670272")</f>
        <v>06670272</v>
      </c>
      <c r="F452" s="48" t="str">
        <f ca="1">IFERROR(__xludf.DUMMYFUNCTION("""COMPUTED_VALUE"""),"SCHILTIGHEIM Tennis de Table")</f>
        <v>SCHILTIGHEIM Tennis de Table</v>
      </c>
      <c r="G452" s="50" t="str">
        <f ca="1">IFERROR(__xludf.DUMMYFUNCTION("""COMPUTED_VALUE"""),"CD67")</f>
        <v>CD67</v>
      </c>
      <c r="H452" s="50" t="str">
        <f ca="1">IFERROR(__xludf.DUMMYFUNCTION("""COMPUTED_VALUE"""),"inactivité 3ème année")</f>
        <v>inactivité 3ème année</v>
      </c>
    </row>
    <row r="453" spans="1:8" ht="12.75">
      <c r="A453" s="46">
        <f ca="1">IFERROR(__xludf.DUMMYFUNCTION("""COMPUTED_VALUE"""),441)</f>
        <v>441</v>
      </c>
      <c r="B453" s="65" t="str">
        <f ca="1">IFERROR(__xludf.DUMMYFUNCTION("""COMPUTED_VALUE"""),"579414")</f>
        <v>579414</v>
      </c>
      <c r="C453" s="48" t="str">
        <f ca="1">IFERROR(__xludf.DUMMYFUNCTION("""COMPUTED_VALUE"""),"OUANNOUGHI")</f>
        <v>OUANNOUGHI</v>
      </c>
      <c r="D453" s="48" t="str">
        <f ca="1">IFERROR(__xludf.DUMMYFUNCTION("""COMPUTED_VALUE"""),"Hakim")</f>
        <v>Hakim</v>
      </c>
      <c r="E453" s="49" t="str">
        <f ca="1">IFERROR(__xludf.DUMMYFUNCTION("""COMPUTED_VALUE"""),"06570075")</f>
        <v>06570075</v>
      </c>
      <c r="F453" s="48" t="str">
        <f ca="1">IFERROR(__xludf.DUMMYFUNCTION("""COMPUTED_VALUE"""),"ILLANGE USTT")</f>
        <v>ILLANGE USTT</v>
      </c>
      <c r="G453" s="50" t="str">
        <f ca="1">IFERROR(__xludf.DUMMYFUNCTION("""COMPUTED_VALUE"""),"CD57")</f>
        <v>CD57</v>
      </c>
      <c r="H453" s="50" t="str">
        <f ca="1">IFERROR(__xludf.DUMMYFUNCTION("""COMPUTED_VALUE"""),"inactivité 1ère année")</f>
        <v>inactivité 1ère année</v>
      </c>
    </row>
    <row r="454" spans="1:8" ht="12.75">
      <c r="A454" s="46">
        <f ca="1">IFERROR(__xludf.DUMMYFUNCTION("""COMPUTED_VALUE"""),442)</f>
        <v>442</v>
      </c>
      <c r="B454" s="65" t="str">
        <f ca="1">IFERROR(__xludf.DUMMYFUNCTION("""COMPUTED_VALUE"""),"6814571")</f>
        <v>6814571</v>
      </c>
      <c r="C454" s="48" t="str">
        <f ca="1">IFERROR(__xludf.DUMMYFUNCTION("""COMPUTED_VALUE"""),"OUARRAK")</f>
        <v>OUARRAK</v>
      </c>
      <c r="D454" s="48" t="str">
        <f ca="1">IFERROR(__xludf.DUMMYFUNCTION("""COMPUTED_VALUE"""),"Badr")</f>
        <v>Badr</v>
      </c>
      <c r="E454" s="49" t="str">
        <f ca="1">IFERROR(__xludf.DUMMYFUNCTION("""COMPUTED_VALUE"""),"06680091")</f>
        <v>06680091</v>
      </c>
      <c r="F454" s="48" t="str">
        <f ca="1">IFERROR(__xludf.DUMMYFUNCTION("""COMPUTED_VALUE"""),"ILLZACH TTSJB")</f>
        <v>ILLZACH TTSJB</v>
      </c>
      <c r="G454" s="50" t="str">
        <f ca="1">IFERROR(__xludf.DUMMYFUNCTION("""COMPUTED_VALUE"""),"CD68")</f>
        <v>CD68</v>
      </c>
      <c r="H454" s="50" t="str">
        <f ca="1">IFERROR(__xludf.DUMMYFUNCTION("""COMPUTED_VALUE"""),"inactivité 3ème année")</f>
        <v>inactivité 3ème année</v>
      </c>
    </row>
    <row r="455" spans="1:8" ht="12.75">
      <c r="A455" s="46">
        <f ca="1">IFERROR(__xludf.DUMMYFUNCTION("""COMPUTED_VALUE"""),443)</f>
        <v>443</v>
      </c>
      <c r="B455" s="65" t="str">
        <f ca="1">IFERROR(__xludf.DUMMYFUNCTION("""COMPUTED_VALUE"""),"557343")</f>
        <v>557343</v>
      </c>
      <c r="C455" s="48" t="str">
        <f ca="1">IFERROR(__xludf.DUMMYFUNCTION("""COMPUTED_VALUE"""),"OUDET")</f>
        <v>OUDET</v>
      </c>
      <c r="D455" s="48" t="str">
        <f ca="1">IFERROR(__xludf.DUMMYFUNCTION("""COMPUTED_VALUE"""),"Raphael")</f>
        <v>Raphael</v>
      </c>
      <c r="E455" s="49" t="str">
        <f ca="1">IFERROR(__xludf.DUMMYFUNCTION("""COMPUTED_VALUE"""),"06550005")</f>
        <v>06550005</v>
      </c>
      <c r="F455" s="48" t="str">
        <f ca="1">IFERROR(__xludf.DUMMYFUNCTION("""COMPUTED_VALUE"""),"SAINT MIHIEL P.P.C.")</f>
        <v>SAINT MIHIEL P.P.C.</v>
      </c>
      <c r="G455" s="50" t="str">
        <f ca="1">IFERROR(__xludf.DUMMYFUNCTION("""COMPUTED_VALUE"""),"CD55")</f>
        <v>CD55</v>
      </c>
      <c r="H455" s="50" t="str">
        <f ca="1">IFERROR(__xludf.DUMMYFUNCTION("""COMPUTED_VALUE"""),"inactivité 3ème année")</f>
        <v>inactivité 3ème année</v>
      </c>
    </row>
    <row r="456" spans="1:8" ht="12.75">
      <c r="A456" s="46">
        <f ca="1">IFERROR(__xludf.DUMMYFUNCTION("""COMPUTED_VALUE"""),444)</f>
        <v>444</v>
      </c>
      <c r="B456" s="65" t="str">
        <f ca="1">IFERROR(__xludf.DUMMYFUNCTION("""COMPUTED_VALUE"""),"2510648")</f>
        <v>2510648</v>
      </c>
      <c r="C456" s="48" t="str">
        <f ca="1">IFERROR(__xludf.DUMMYFUNCTION("""COMPUTED_VALUE"""),"PAGNOT")</f>
        <v>PAGNOT</v>
      </c>
      <c r="D456" s="48" t="str">
        <f ca="1">IFERROR(__xludf.DUMMYFUNCTION("""COMPUTED_VALUE"""),"Sebastien")</f>
        <v>Sebastien</v>
      </c>
      <c r="E456" s="49" t="str">
        <f ca="1">IFERROR(__xludf.DUMMYFUNCTION("""COMPUTED_VALUE"""),"06880145")</f>
        <v>06880145</v>
      </c>
      <c r="F456" s="48" t="str">
        <f ca="1">IFERROR(__xludf.DUMMYFUNCTION("""COMPUTED_VALUE"""),"THAON CHENIMENIL E.S.T.T.")</f>
        <v>THAON CHENIMENIL E.S.T.T.</v>
      </c>
      <c r="G456" s="50" t="str">
        <f ca="1">IFERROR(__xludf.DUMMYFUNCTION("""COMPUTED_VALUE"""),"CD88")</f>
        <v>CD88</v>
      </c>
      <c r="H456" s="50" t="str">
        <f ca="1">IFERROR(__xludf.DUMMYFUNCTION("""COMPUTED_VALUE"""),"inactivité 1ère année")</f>
        <v>inactivité 1ère année</v>
      </c>
    </row>
    <row r="457" spans="1:8" ht="12.75">
      <c r="A457" s="46">
        <f ca="1">IFERROR(__xludf.DUMMYFUNCTION("""COMPUTED_VALUE"""),445)</f>
        <v>445</v>
      </c>
      <c r="B457" s="65" t="str">
        <f ca="1">IFERROR(__xludf.DUMMYFUNCTION("""COMPUTED_VALUE"""),"5110489")</f>
        <v>5110489</v>
      </c>
      <c r="C457" s="48" t="str">
        <f ca="1">IFERROR(__xludf.DUMMYFUNCTION("""COMPUTED_VALUE"""),"PALISSE")</f>
        <v>PALISSE</v>
      </c>
      <c r="D457" s="48" t="str">
        <f ca="1">IFERROR(__xludf.DUMMYFUNCTION("""COMPUTED_VALUE"""),"Alban")</f>
        <v>Alban</v>
      </c>
      <c r="E457" s="49" t="str">
        <f ca="1">IFERROR(__xludf.DUMMYFUNCTION("""COMPUTED_VALUE"""),"06510004")</f>
        <v>06510004</v>
      </c>
      <c r="F457" s="48" t="str">
        <f ca="1">IFERROR(__xludf.DUMMYFUNCTION("""COMPUTED_VALUE"""),"CHALONS ASPTT")</f>
        <v>CHALONS ASPTT</v>
      </c>
      <c r="G457" s="50" t="str">
        <f ca="1">IFERROR(__xludf.DUMMYFUNCTION("""COMPUTED_VALUE"""),"CD51")</f>
        <v>CD51</v>
      </c>
      <c r="H457" s="50" t="str">
        <f ca="1">IFERROR(__xludf.DUMMYFUNCTION("""COMPUTED_VALUE"""),"actif")</f>
        <v>actif</v>
      </c>
    </row>
    <row r="458" spans="1:8" ht="12.75">
      <c r="A458" s="46">
        <f ca="1">IFERROR(__xludf.DUMMYFUNCTION("""COMPUTED_VALUE"""),446)</f>
        <v>446</v>
      </c>
      <c r="B458" s="65" t="str">
        <f ca="1">IFERROR(__xludf.DUMMYFUNCTION("""COMPUTED_VALUE"""),"5715048")</f>
        <v>5715048</v>
      </c>
      <c r="C458" s="48" t="str">
        <f ca="1">IFERROR(__xludf.DUMMYFUNCTION("""COMPUTED_VALUE"""),"PALOMBO")</f>
        <v>PALOMBO</v>
      </c>
      <c r="D458" s="48" t="str">
        <f ca="1">IFERROR(__xludf.DUMMYFUNCTION("""COMPUTED_VALUE"""),"Jean Pierre")</f>
        <v>Jean Pierre</v>
      </c>
      <c r="E458" s="49" t="str">
        <f ca="1">IFERROR(__xludf.DUMMYFUNCTION("""COMPUTED_VALUE"""),"06570180")</f>
        <v>06570180</v>
      </c>
      <c r="F458" s="48" t="str">
        <f ca="1">IFERROR(__xludf.DUMMYFUNCTION("""COMPUTED_VALUE"""),"BEHREN LES FORBACH TT")</f>
        <v>BEHREN LES FORBACH TT</v>
      </c>
      <c r="G458" s="50" t="str">
        <f ca="1">IFERROR(__xludf.DUMMYFUNCTION("""COMPUTED_VALUE"""),"CD57")</f>
        <v>CD57</v>
      </c>
      <c r="H458" s="50" t="str">
        <f ca="1">IFERROR(__xludf.DUMMYFUNCTION("""COMPUTED_VALUE"""),"inactivité 1ère année")</f>
        <v>inactivité 1ère année</v>
      </c>
    </row>
    <row r="459" spans="1:8" ht="12.75">
      <c r="A459" s="46">
        <f ca="1">IFERROR(__xludf.DUMMYFUNCTION("""COMPUTED_VALUE"""),447)</f>
        <v>447</v>
      </c>
      <c r="B459" s="65" t="str">
        <f ca="1">IFERROR(__xludf.DUMMYFUNCTION("""COMPUTED_VALUE"""),"88227")</f>
        <v>88227</v>
      </c>
      <c r="C459" s="48" t="str">
        <f ca="1">IFERROR(__xludf.DUMMYFUNCTION("""COMPUTED_VALUE"""),"PARIS")</f>
        <v>PARIS</v>
      </c>
      <c r="D459" s="48" t="str">
        <f ca="1">IFERROR(__xludf.DUMMYFUNCTION("""COMPUTED_VALUE"""),"Rene")</f>
        <v>Rene</v>
      </c>
      <c r="E459" s="49" t="str">
        <f ca="1">IFERROR(__xludf.DUMMYFUNCTION("""COMPUTED_VALUE"""),"06880010")</f>
        <v>06880010</v>
      </c>
      <c r="F459" s="48" t="str">
        <f ca="1">IFERROR(__xludf.DUMMYFUNCTION("""COMPUTED_VALUE"""),"SAINT DIE SRDTT")</f>
        <v>SAINT DIE SRDTT</v>
      </c>
      <c r="G459" s="50" t="str">
        <f ca="1">IFERROR(__xludf.DUMMYFUNCTION("""COMPUTED_VALUE"""),"CD88")</f>
        <v>CD88</v>
      </c>
      <c r="H459" s="50" t="str">
        <f ca="1">IFERROR(__xludf.DUMMYFUNCTION("""COMPUTED_VALUE"""),"actif")</f>
        <v>actif</v>
      </c>
    </row>
    <row r="460" spans="1:8" ht="12.75">
      <c r="A460" s="46">
        <f ca="1">IFERROR(__xludf.DUMMYFUNCTION("""COMPUTED_VALUE"""),448)</f>
        <v>448</v>
      </c>
      <c r="B460" s="65" t="str">
        <f ca="1">IFERROR(__xludf.DUMMYFUNCTION("""COMPUTED_VALUE"""),"881857")</f>
        <v>881857</v>
      </c>
      <c r="C460" s="48" t="str">
        <f ca="1">IFERROR(__xludf.DUMMYFUNCTION("""COMPUTED_VALUE"""),"PARIS")</f>
        <v>PARIS</v>
      </c>
      <c r="D460" s="48" t="str">
        <f ca="1">IFERROR(__xludf.DUMMYFUNCTION("""COMPUTED_VALUE"""),"Benoit")</f>
        <v>Benoit</v>
      </c>
      <c r="E460" s="49" t="str">
        <f ca="1">IFERROR(__xludf.DUMMYFUNCTION("""COMPUTED_VALUE"""),"06880051")</f>
        <v>06880051</v>
      </c>
      <c r="F460" s="48" t="str">
        <f ca="1">IFERROR(__xludf.DUMMYFUNCTION("""COMPUTED_VALUE"""),"Raquette Golbéenne")</f>
        <v>Raquette Golbéenne</v>
      </c>
      <c r="G460" s="50" t="str">
        <f ca="1">IFERROR(__xludf.DUMMYFUNCTION("""COMPUTED_VALUE"""),"CD88")</f>
        <v>CD88</v>
      </c>
      <c r="H460" s="50" t="str">
        <f ca="1">IFERROR(__xludf.DUMMYFUNCTION("""COMPUTED_VALUE"""),"inactivité 2ème année")</f>
        <v>inactivité 2ème année</v>
      </c>
    </row>
    <row r="461" spans="1:8" ht="12.75">
      <c r="A461" s="46">
        <f ca="1">IFERROR(__xludf.DUMMYFUNCTION("""COMPUTED_VALUE"""),449)</f>
        <v>449</v>
      </c>
      <c r="B461" s="65" t="str">
        <f ca="1">IFERROR(__xludf.DUMMYFUNCTION("""COMPUTED_VALUE"""),"9314122")</f>
        <v>9314122</v>
      </c>
      <c r="C461" s="48" t="str">
        <f ca="1">IFERROR(__xludf.DUMMYFUNCTION("""COMPUTED_VALUE"""),"PECHEUX")</f>
        <v>PECHEUX</v>
      </c>
      <c r="D461" s="48" t="str">
        <f ca="1">IFERROR(__xludf.DUMMYFUNCTION("""COMPUTED_VALUE"""),"Pierrick")</f>
        <v>Pierrick</v>
      </c>
      <c r="E461" s="49" t="str">
        <f ca="1">IFERROR(__xludf.DUMMYFUNCTION("""COMPUTED_VALUE"""),"06670045")</f>
        <v>06670045</v>
      </c>
      <c r="F461" s="48" t="str">
        <f ca="1">IFERROR(__xludf.DUMMYFUNCTION("""COMPUTED_VALUE"""),"STRASBOURG RC")</f>
        <v>STRASBOURG RC</v>
      </c>
      <c r="G461" s="50" t="str">
        <f ca="1">IFERROR(__xludf.DUMMYFUNCTION("""COMPUTED_VALUE"""),"CD67")</f>
        <v>CD67</v>
      </c>
      <c r="H461" s="50" t="str">
        <f ca="1">IFERROR(__xludf.DUMMYFUNCTION("""COMPUTED_VALUE"""),"inactivité 2ème année")</f>
        <v>inactivité 2ème année</v>
      </c>
    </row>
    <row r="462" spans="1:8" ht="12.75">
      <c r="A462" s="46">
        <f ca="1">IFERROR(__xludf.DUMMYFUNCTION("""COMPUTED_VALUE"""),450)</f>
        <v>450</v>
      </c>
      <c r="B462" s="65" t="str">
        <f ca="1">IFERROR(__xludf.DUMMYFUNCTION("""COMPUTED_VALUE"""),"549813")</f>
        <v>549813</v>
      </c>
      <c r="C462" s="48" t="str">
        <f ca="1">IFERROR(__xludf.DUMMYFUNCTION("""COMPUTED_VALUE"""),"PELLENZ")</f>
        <v>PELLENZ</v>
      </c>
      <c r="D462" s="48" t="str">
        <f ca="1">IFERROR(__xludf.DUMMYFUNCTION("""COMPUTED_VALUE"""),"Sebastien")</f>
        <v>Sebastien</v>
      </c>
      <c r="E462" s="49" t="str">
        <f ca="1">IFERROR(__xludf.DUMMYFUNCTION("""COMPUTED_VALUE"""),"06540202")</f>
        <v>06540202</v>
      </c>
      <c r="F462" s="48" t="str">
        <f ca="1">IFERROR(__xludf.DUMMYFUNCTION("""COMPUTED_VALUE"""),"ATTON FR TT")</f>
        <v>ATTON FR TT</v>
      </c>
      <c r="G462" s="50" t="str">
        <f ca="1">IFERROR(__xludf.DUMMYFUNCTION("""COMPUTED_VALUE"""),"CD54")</f>
        <v>CD54</v>
      </c>
      <c r="H462" s="50" t="str">
        <f ca="1">IFERROR(__xludf.DUMMYFUNCTION("""COMPUTED_VALUE"""),"actif")</f>
        <v>actif</v>
      </c>
    </row>
    <row r="463" spans="1:8" ht="12.75">
      <c r="A463" s="46">
        <f ca="1">IFERROR(__xludf.DUMMYFUNCTION("""COMPUTED_VALUE"""),451)</f>
        <v>451</v>
      </c>
      <c r="B463" s="65" t="str">
        <f ca="1">IFERROR(__xludf.DUMMYFUNCTION("""COMPUTED_VALUE"""),"5415927")</f>
        <v>5415927</v>
      </c>
      <c r="C463" s="48" t="str">
        <f ca="1">IFERROR(__xludf.DUMMYFUNCTION("""COMPUTED_VALUE"""),"PELLI")</f>
        <v>PELLI</v>
      </c>
      <c r="D463" s="48" t="str">
        <f ca="1">IFERROR(__xludf.DUMMYFUNCTION("""COMPUTED_VALUE"""),"Christophe")</f>
        <v>Christophe</v>
      </c>
      <c r="E463" s="49" t="str">
        <f ca="1">IFERROR(__xludf.DUMMYFUNCTION("""COMPUTED_VALUE"""),"06540021")</f>
        <v>06540021</v>
      </c>
      <c r="F463" s="48" t="str">
        <f ca="1">IFERROR(__xludf.DUMMYFUNCTION("""COMPUTED_VALUE"""),"LUNEVILLE A.L.T.T.")</f>
        <v>LUNEVILLE A.L.T.T.</v>
      </c>
      <c r="G463" s="50" t="str">
        <f ca="1">IFERROR(__xludf.DUMMYFUNCTION("""COMPUTED_VALUE"""),"CD54")</f>
        <v>CD54</v>
      </c>
      <c r="H463" s="50" t="str">
        <f ca="1">IFERROR(__xludf.DUMMYFUNCTION("""COMPUTED_VALUE"""),"actif")</f>
        <v>actif</v>
      </c>
    </row>
    <row r="464" spans="1:8" ht="12.75">
      <c r="A464" s="46">
        <f ca="1">IFERROR(__xludf.DUMMYFUNCTION("""COMPUTED_VALUE"""),452)</f>
        <v>452</v>
      </c>
      <c r="B464" s="65" t="str">
        <f ca="1">IFERROR(__xludf.DUMMYFUNCTION("""COMPUTED_VALUE"""),"886017")</f>
        <v>886017</v>
      </c>
      <c r="C464" s="48" t="str">
        <f ca="1">IFERROR(__xludf.DUMMYFUNCTION("""COMPUTED_VALUE"""),"PERNOT")</f>
        <v>PERNOT</v>
      </c>
      <c r="D464" s="48" t="str">
        <f ca="1">IFERROR(__xludf.DUMMYFUNCTION("""COMPUTED_VALUE"""),"Julien")</f>
        <v>Julien</v>
      </c>
      <c r="E464" s="49" t="str">
        <f ca="1">IFERROR(__xludf.DUMMYFUNCTION("""COMPUTED_VALUE"""),"06880051")</f>
        <v>06880051</v>
      </c>
      <c r="F464" s="48" t="str">
        <f ca="1">IFERROR(__xludf.DUMMYFUNCTION("""COMPUTED_VALUE"""),"Raquette Golbéenne")</f>
        <v>Raquette Golbéenne</v>
      </c>
      <c r="G464" s="50" t="str">
        <f ca="1">IFERROR(__xludf.DUMMYFUNCTION("""COMPUTED_VALUE"""),"CD88")</f>
        <v>CD88</v>
      </c>
      <c r="H464" s="50" t="str">
        <f ca="1">IFERROR(__xludf.DUMMYFUNCTION("""COMPUTED_VALUE"""),"inactivité 3ème année")</f>
        <v>inactivité 3ème année</v>
      </c>
    </row>
    <row r="465" spans="1:8" ht="12.75">
      <c r="A465" s="46">
        <f ca="1">IFERROR(__xludf.DUMMYFUNCTION("""COMPUTED_VALUE"""),453)</f>
        <v>453</v>
      </c>
      <c r="B465" s="65" t="str">
        <f ca="1">IFERROR(__xludf.DUMMYFUNCTION("""COMPUTED_VALUE"""),"7715935")</f>
        <v>7715935</v>
      </c>
      <c r="C465" s="48" t="str">
        <f ca="1">IFERROR(__xludf.DUMMYFUNCTION("""COMPUTED_VALUE"""),"PERRIN")</f>
        <v>PERRIN</v>
      </c>
      <c r="D465" s="48" t="str">
        <f ca="1">IFERROR(__xludf.DUMMYFUNCTION("""COMPUTED_VALUE"""),"Frederic")</f>
        <v>Frederic</v>
      </c>
      <c r="E465" s="49" t="str">
        <f ca="1">IFERROR(__xludf.DUMMYFUNCTION("""COMPUTED_VALUE"""),"06100005")</f>
        <v>06100005</v>
      </c>
      <c r="F465" s="48" t="str">
        <f ca="1">IFERROR(__xludf.DUMMYFUNCTION("""COMPUTED_VALUE"""),"ROMILLY SPORTS 10")</f>
        <v>ROMILLY SPORTS 10</v>
      </c>
      <c r="G465" s="50" t="str">
        <f ca="1">IFERROR(__xludf.DUMMYFUNCTION("""COMPUTED_VALUE"""),"CD10")</f>
        <v>CD10</v>
      </c>
      <c r="H465" s="50" t="str">
        <f ca="1">IFERROR(__xludf.DUMMYFUNCTION("""COMPUTED_VALUE"""),"inactivité 3ème année")</f>
        <v>inactivité 3ème année</v>
      </c>
    </row>
    <row r="466" spans="1:8" ht="12.75">
      <c r="A466" s="46">
        <f ca="1">IFERROR(__xludf.DUMMYFUNCTION("""COMPUTED_VALUE"""),454)</f>
        <v>454</v>
      </c>
      <c r="B466" s="65" t="str">
        <f ca="1">IFERROR(__xludf.DUMMYFUNCTION("""COMPUTED_VALUE"""),"5713735")</f>
        <v>5713735</v>
      </c>
      <c r="C466" s="48" t="str">
        <f ca="1">IFERROR(__xludf.DUMMYFUNCTION("""COMPUTED_VALUE"""),"PETER")</f>
        <v>PETER</v>
      </c>
      <c r="D466" s="48" t="str">
        <f ca="1">IFERROR(__xludf.DUMMYFUNCTION("""COMPUTED_VALUE"""),"Gaetan")</f>
        <v>Gaetan</v>
      </c>
      <c r="E466" s="49" t="str">
        <f ca="1">IFERROR(__xludf.DUMMYFUNCTION("""COMPUTED_VALUE"""),"06570014")</f>
        <v>06570014</v>
      </c>
      <c r="F466" s="48" t="str">
        <f ca="1">IFERROR(__xludf.DUMMYFUNCTION("""COMPUTED_VALUE"""),"MANOM J.S.")</f>
        <v>MANOM J.S.</v>
      </c>
      <c r="G466" s="50" t="str">
        <f ca="1">IFERROR(__xludf.DUMMYFUNCTION("""COMPUTED_VALUE"""),"CD57")</f>
        <v>CD57</v>
      </c>
      <c r="H466" s="50" t="str">
        <f ca="1">IFERROR(__xludf.DUMMYFUNCTION("""COMPUTED_VALUE"""),"actif")</f>
        <v>actif</v>
      </c>
    </row>
    <row r="467" spans="1:8" ht="12.75">
      <c r="A467" s="46">
        <f ca="1">IFERROR(__xludf.DUMMYFUNCTION("""COMPUTED_VALUE"""),455)</f>
        <v>455</v>
      </c>
      <c r="B467" s="65" t="str">
        <f ca="1">IFERROR(__xludf.DUMMYFUNCTION("""COMPUTED_VALUE"""),"082888")</f>
        <v>082888</v>
      </c>
      <c r="C467" s="48" t="str">
        <f ca="1">IFERROR(__xludf.DUMMYFUNCTION("""COMPUTED_VALUE"""),"PETIT")</f>
        <v>PETIT</v>
      </c>
      <c r="D467" s="48" t="str">
        <f ca="1">IFERROR(__xludf.DUMMYFUNCTION("""COMPUTED_VALUE"""),"Franck")</f>
        <v>Franck</v>
      </c>
      <c r="E467" s="49" t="str">
        <f ca="1">IFERROR(__xludf.DUMMYFUNCTION("""COMPUTED_VALUE"""),"06080035")</f>
        <v>06080035</v>
      </c>
      <c r="F467" s="48" t="str">
        <f ca="1">IFERROR(__xludf.DUMMYFUNCTION("""COMPUTED_VALUE"""),"CHARLEVILLE MEZIERES ARDENNES TT")</f>
        <v>CHARLEVILLE MEZIERES ARDENNES TT</v>
      </c>
      <c r="G467" s="50" t="str">
        <f ca="1">IFERROR(__xludf.DUMMYFUNCTION("""COMPUTED_VALUE"""),"CD08")</f>
        <v>CD08</v>
      </c>
      <c r="H467" s="50" t="str">
        <f ca="1">IFERROR(__xludf.DUMMYFUNCTION("""COMPUTED_VALUE"""),"inactivité 3ème année")</f>
        <v>inactivité 3ème année</v>
      </c>
    </row>
    <row r="468" spans="1:8" ht="12.75">
      <c r="A468" s="46">
        <f ca="1">IFERROR(__xludf.DUMMYFUNCTION("""COMPUTED_VALUE"""),456)</f>
        <v>456</v>
      </c>
      <c r="B468" s="65" t="str">
        <f ca="1">IFERROR(__xludf.DUMMYFUNCTION("""COMPUTED_VALUE"""),"88384")</f>
        <v>88384</v>
      </c>
      <c r="C468" s="48" t="str">
        <f ca="1">IFERROR(__xludf.DUMMYFUNCTION("""COMPUTED_VALUE"""),"PETIT")</f>
        <v>PETIT</v>
      </c>
      <c r="D468" s="48" t="str">
        <f ca="1">IFERROR(__xludf.DUMMYFUNCTION("""COMPUTED_VALUE"""),"Jean")</f>
        <v>Jean</v>
      </c>
      <c r="E468" s="49" t="str">
        <f ca="1">IFERROR(__xludf.DUMMYFUNCTION("""COMPUTED_VALUE"""),"06880022")</f>
        <v>06880022</v>
      </c>
      <c r="F468" s="48" t="str">
        <f ca="1">IFERROR(__xludf.DUMMYFUNCTION("""COMPUTED_VALUE"""),"VITTEL SAINT REMY TT")</f>
        <v>VITTEL SAINT REMY TT</v>
      </c>
      <c r="G468" s="50" t="str">
        <f ca="1">IFERROR(__xludf.DUMMYFUNCTION("""COMPUTED_VALUE"""),"CD88")</f>
        <v>CD88</v>
      </c>
      <c r="H468" s="50" t="str">
        <f ca="1">IFERROR(__xludf.DUMMYFUNCTION("""COMPUTED_VALUE"""),"inactivité 1ère année")</f>
        <v>inactivité 1ère année</v>
      </c>
    </row>
    <row r="469" spans="1:8" ht="12.75">
      <c r="A469" s="46">
        <f ca="1">IFERROR(__xludf.DUMMYFUNCTION("""COMPUTED_VALUE"""),457)</f>
        <v>457</v>
      </c>
      <c r="B469" s="65" t="str">
        <f ca="1">IFERROR(__xludf.DUMMYFUNCTION("""COMPUTED_VALUE"""),"679657")</f>
        <v>679657</v>
      </c>
      <c r="C469" s="48" t="str">
        <f ca="1">IFERROR(__xludf.DUMMYFUNCTION("""COMPUTED_VALUE"""),"PFEIFFER")</f>
        <v>PFEIFFER</v>
      </c>
      <c r="D469" s="48" t="str">
        <f ca="1">IFERROR(__xludf.DUMMYFUNCTION("""COMPUTED_VALUE"""),"Robert")</f>
        <v>Robert</v>
      </c>
      <c r="E469" s="49" t="str">
        <f ca="1">IFERROR(__xludf.DUMMYFUNCTION("""COMPUTED_VALUE"""),"06670279")</f>
        <v>06670279</v>
      </c>
      <c r="F469" s="48" t="str">
        <f ca="1">IFERROR(__xludf.DUMMYFUNCTION("""COMPUTED_VALUE"""),"Etoile Pongiste de SCHLEITHAL ")</f>
        <v xml:space="preserve">Etoile Pongiste de SCHLEITHAL </v>
      </c>
      <c r="G469" s="50" t="str">
        <f ca="1">IFERROR(__xludf.DUMMYFUNCTION("""COMPUTED_VALUE"""),"CD67")</f>
        <v>CD67</v>
      </c>
      <c r="H469" s="50" t="str">
        <f ca="1">IFERROR(__xludf.DUMMYFUNCTION("""COMPUTED_VALUE"""),"actif")</f>
        <v>actif</v>
      </c>
    </row>
    <row r="470" spans="1:8" ht="12.75">
      <c r="A470" s="46">
        <f ca="1">IFERROR(__xludf.DUMMYFUNCTION("""COMPUTED_VALUE"""),458)</f>
        <v>458</v>
      </c>
      <c r="B470" s="65" t="str">
        <f ca="1">IFERROR(__xludf.DUMMYFUNCTION("""COMPUTED_VALUE"""),"675394")</f>
        <v>675394</v>
      </c>
      <c r="C470" s="48" t="str">
        <f ca="1">IFERROR(__xludf.DUMMYFUNCTION("""COMPUTED_VALUE"""),"PFRIMMER")</f>
        <v>PFRIMMER</v>
      </c>
      <c r="D470" s="48" t="str">
        <f ca="1">IFERROR(__xludf.DUMMYFUNCTION("""COMPUTED_VALUE"""),"Valentin")</f>
        <v>Valentin</v>
      </c>
      <c r="E470" s="49" t="str">
        <f ca="1">IFERROR(__xludf.DUMMYFUNCTION("""COMPUTED_VALUE"""),"06670203")</f>
        <v>06670203</v>
      </c>
      <c r="F470" s="48" t="str">
        <f ca="1">IFERROR(__xludf.DUMMYFUNCTION("""COMPUTED_VALUE"""),"BETSCHDORF TT")</f>
        <v>BETSCHDORF TT</v>
      </c>
      <c r="G470" s="50" t="str">
        <f ca="1">IFERROR(__xludf.DUMMYFUNCTION("""COMPUTED_VALUE"""),"CD67")</f>
        <v>CD67</v>
      </c>
      <c r="H470" s="50" t="str">
        <f ca="1">IFERROR(__xludf.DUMMYFUNCTION("""COMPUTED_VALUE"""),"inactivité 1ère année")</f>
        <v>inactivité 1ère année</v>
      </c>
    </row>
    <row r="471" spans="1:8" ht="12.75">
      <c r="A471" s="46">
        <f ca="1">IFERROR(__xludf.DUMMYFUNCTION("""COMPUTED_VALUE"""),459)</f>
        <v>459</v>
      </c>
      <c r="B471" s="65" t="str">
        <f ca="1">IFERROR(__xludf.DUMMYFUNCTION("""COMPUTED_VALUE"""),"5420965")</f>
        <v>5420965</v>
      </c>
      <c r="C471" s="48" t="str">
        <f ca="1">IFERROR(__xludf.DUMMYFUNCTION("""COMPUTED_VALUE"""),"PIERRE")</f>
        <v>PIERRE</v>
      </c>
      <c r="D471" s="48" t="str">
        <f ca="1">IFERROR(__xludf.DUMMYFUNCTION("""COMPUTED_VALUE"""),"Frederic")</f>
        <v>Frederic</v>
      </c>
      <c r="E471" s="49" t="str">
        <f ca="1">IFERROR(__xludf.DUMMYFUNCTION("""COMPUTED_VALUE"""),"06540036")</f>
        <v>06540036</v>
      </c>
      <c r="F471" s="48" t="str">
        <f ca="1">IFERROR(__xludf.DUMMYFUNCTION("""COMPUTED_VALUE"""),"TOUL ECROUVES ASCTT")</f>
        <v>TOUL ECROUVES ASCTT</v>
      </c>
      <c r="G471" s="50" t="str">
        <f ca="1">IFERROR(__xludf.DUMMYFUNCTION("""COMPUTED_VALUE"""),"CD54")</f>
        <v>CD54</v>
      </c>
      <c r="H471" s="50" t="str">
        <f ca="1">IFERROR(__xludf.DUMMYFUNCTION("""COMPUTED_VALUE"""),"actif")</f>
        <v>actif</v>
      </c>
    </row>
    <row r="472" spans="1:8" ht="12.75">
      <c r="A472" s="46">
        <f ca="1">IFERROR(__xludf.DUMMYFUNCTION("""COMPUTED_VALUE"""),460)</f>
        <v>460</v>
      </c>
      <c r="B472" s="65" t="str">
        <f ca="1">IFERROR(__xludf.DUMMYFUNCTION("""COMPUTED_VALUE"""),"5737436")</f>
        <v>5737436</v>
      </c>
      <c r="C472" s="48" t="str">
        <f ca="1">IFERROR(__xludf.DUMMYFUNCTION("""COMPUTED_VALUE"""),"PIERROT")</f>
        <v>PIERROT</v>
      </c>
      <c r="D472" s="48" t="str">
        <f ca="1">IFERROR(__xludf.DUMMYFUNCTION("""COMPUTED_VALUE"""),"Laura")</f>
        <v>Laura</v>
      </c>
      <c r="E472" s="49" t="str">
        <f ca="1">IFERROR(__xludf.DUMMYFUNCTION("""COMPUTED_VALUE"""),"06570073")</f>
        <v>06570073</v>
      </c>
      <c r="F472" s="48" t="str">
        <f ca="1">IFERROR(__xludf.DUMMYFUNCTION("""COMPUTED_VALUE"""),"TERVILLE Tennis de Table")</f>
        <v>TERVILLE Tennis de Table</v>
      </c>
      <c r="G472" s="50" t="str">
        <f ca="1">IFERROR(__xludf.DUMMYFUNCTION("""COMPUTED_VALUE"""),"CD57")</f>
        <v>CD57</v>
      </c>
      <c r="H472" s="50" t="str">
        <f ca="1">IFERROR(__xludf.DUMMYFUNCTION("""COMPUTED_VALUE"""),"actif")</f>
        <v>actif</v>
      </c>
    </row>
    <row r="473" spans="1:8" ht="12.75">
      <c r="A473" s="46">
        <f ca="1">IFERROR(__xludf.DUMMYFUNCTION("""COMPUTED_VALUE"""),461)</f>
        <v>461</v>
      </c>
      <c r="B473" s="65" t="str">
        <f ca="1">IFERROR(__xludf.DUMMYFUNCTION("""COMPUTED_VALUE"""),"6720373")</f>
        <v>6720373</v>
      </c>
      <c r="C473" s="48" t="str">
        <f ca="1">IFERROR(__xludf.DUMMYFUNCTION("""COMPUTED_VALUE"""),"PINTO")</f>
        <v>PINTO</v>
      </c>
      <c r="D473" s="48" t="str">
        <f ca="1">IFERROR(__xludf.DUMMYFUNCTION("""COMPUTED_VALUE"""),"Lucas")</f>
        <v>Lucas</v>
      </c>
      <c r="E473" s="49" t="str">
        <f ca="1">IFERROR(__xludf.DUMMYFUNCTION("""COMPUTED_VALUE"""),"06670160")</f>
        <v>06670160</v>
      </c>
      <c r="F473" s="48" t="str">
        <f ca="1">IFERROR(__xludf.DUMMYFUNCTION("""COMPUTED_VALUE"""),"T.T.Haguenau Wissembourg")</f>
        <v>T.T.Haguenau Wissembourg</v>
      </c>
      <c r="G473" s="50" t="str">
        <f ca="1">IFERROR(__xludf.DUMMYFUNCTION("""COMPUTED_VALUE"""),"CD67")</f>
        <v>CD67</v>
      </c>
      <c r="H473" s="50" t="str">
        <f ca="1">IFERROR(__xludf.DUMMYFUNCTION("""COMPUTED_VALUE"""),"inactivité 1ère année")</f>
        <v>inactivité 1ère année</v>
      </c>
    </row>
    <row r="474" spans="1:8" ht="12.75">
      <c r="A474" s="46">
        <f ca="1">IFERROR(__xludf.DUMMYFUNCTION("""COMPUTED_VALUE"""),462)</f>
        <v>462</v>
      </c>
      <c r="B474" s="65" t="str">
        <f ca="1">IFERROR(__xludf.DUMMYFUNCTION("""COMPUTED_VALUE"""),"888607")</f>
        <v>888607</v>
      </c>
      <c r="C474" s="48" t="str">
        <f ca="1">IFERROR(__xludf.DUMMYFUNCTION("""COMPUTED_VALUE"""),"PISANO")</f>
        <v>PISANO</v>
      </c>
      <c r="D474" s="48" t="str">
        <f ca="1">IFERROR(__xludf.DUMMYFUNCTION("""COMPUTED_VALUE"""),"David")</f>
        <v>David</v>
      </c>
      <c r="E474" s="49" t="str">
        <f ca="1">IFERROR(__xludf.DUMMYFUNCTION("""COMPUTED_VALUE"""),"06540040")</f>
        <v>06540040</v>
      </c>
      <c r="F474" s="48" t="str">
        <f ca="1">IFERROR(__xludf.DUMMYFUNCTION("""COMPUTED_VALUE"""),"VILLERS LES NANCY C.O.S.")</f>
        <v>VILLERS LES NANCY C.O.S.</v>
      </c>
      <c r="G474" s="50" t="str">
        <f ca="1">IFERROR(__xludf.DUMMYFUNCTION("""COMPUTED_VALUE"""),"CD54")</f>
        <v>CD54</v>
      </c>
      <c r="H474" s="50" t="str">
        <f ca="1">IFERROR(__xludf.DUMMYFUNCTION("""COMPUTED_VALUE"""),"inactivité 2ème année")</f>
        <v>inactivité 2ème année</v>
      </c>
    </row>
    <row r="475" spans="1:8" ht="12.75">
      <c r="A475" s="46">
        <f ca="1">IFERROR(__xludf.DUMMYFUNCTION("""COMPUTED_VALUE"""),463)</f>
        <v>463</v>
      </c>
      <c r="B475" s="65" t="str">
        <f ca="1">IFERROR(__xludf.DUMMYFUNCTION("""COMPUTED_VALUE"""),"5425689")</f>
        <v>5425689</v>
      </c>
      <c r="C475" s="48" t="str">
        <f ca="1">IFERROR(__xludf.DUMMYFUNCTION("""COMPUTED_VALUE"""),"POIROT")</f>
        <v>POIROT</v>
      </c>
      <c r="D475" s="48" t="str">
        <f ca="1">IFERROR(__xludf.DUMMYFUNCTION("""COMPUTED_VALUE"""),"Abigaelle")</f>
        <v>Abigaelle</v>
      </c>
      <c r="E475" s="49" t="str">
        <f ca="1">IFERROR(__xludf.DUMMYFUNCTION("""COMPUTED_VALUE"""),"06540040")</f>
        <v>06540040</v>
      </c>
      <c r="F475" s="48" t="str">
        <f ca="1">IFERROR(__xludf.DUMMYFUNCTION("""COMPUTED_VALUE"""),"VILLERS LES NANCY C.O.S.")</f>
        <v>VILLERS LES NANCY C.O.S.</v>
      </c>
      <c r="G475" s="50" t="str">
        <f ca="1">IFERROR(__xludf.DUMMYFUNCTION("""COMPUTED_VALUE"""),"CD54")</f>
        <v>CD54</v>
      </c>
      <c r="H475" s="50" t="str">
        <f ca="1">IFERROR(__xludf.DUMMYFUNCTION("""COMPUTED_VALUE"""),"actif")</f>
        <v>actif</v>
      </c>
    </row>
    <row r="476" spans="1:8" ht="12.75">
      <c r="A476" s="46">
        <f ca="1">IFERROR(__xludf.DUMMYFUNCTION("""COMPUTED_VALUE"""),464)</f>
        <v>464</v>
      </c>
      <c r="B476" s="65" t="str">
        <f ca="1">IFERROR(__xludf.DUMMYFUNCTION("""COMPUTED_VALUE"""),"548594")</f>
        <v>548594</v>
      </c>
      <c r="C476" s="48" t="str">
        <f ca="1">IFERROR(__xludf.DUMMYFUNCTION("""COMPUTED_VALUE"""),"POISOT")</f>
        <v>POISOT</v>
      </c>
      <c r="D476" s="48" t="str">
        <f ca="1">IFERROR(__xludf.DUMMYFUNCTION("""COMPUTED_VALUE"""),"Christophe")</f>
        <v>Christophe</v>
      </c>
      <c r="E476" s="49" t="str">
        <f ca="1">IFERROR(__xludf.DUMMYFUNCTION("""COMPUTED_VALUE"""),"06540011")</f>
        <v>06540011</v>
      </c>
      <c r="F476" s="48" t="str">
        <f ca="1">IFERROR(__xludf.DUMMYFUNCTION("""COMPUTED_VALUE"""),"Frouard O.F.P.")</f>
        <v>Frouard O.F.P.</v>
      </c>
      <c r="G476" s="50" t="str">
        <f ca="1">IFERROR(__xludf.DUMMYFUNCTION("""COMPUTED_VALUE"""),"CD54")</f>
        <v>CD54</v>
      </c>
      <c r="H476" s="50" t="str">
        <f ca="1">IFERROR(__xludf.DUMMYFUNCTION("""COMPUTED_VALUE"""),"inactivité 1ère année")</f>
        <v>inactivité 1ère année</v>
      </c>
    </row>
    <row r="477" spans="1:8" ht="12.75">
      <c r="A477" s="46">
        <f ca="1">IFERROR(__xludf.DUMMYFUNCTION("""COMPUTED_VALUE"""),465)</f>
        <v>465</v>
      </c>
      <c r="B477" s="65" t="str">
        <f ca="1">IFERROR(__xludf.DUMMYFUNCTION("""COMPUTED_VALUE"""),"578365")</f>
        <v>578365</v>
      </c>
      <c r="C477" s="48" t="str">
        <f ca="1">IFERROR(__xludf.DUMMYFUNCTION("""COMPUTED_VALUE"""),"POMAREDE")</f>
        <v>POMAREDE</v>
      </c>
      <c r="D477" s="48" t="str">
        <f ca="1">IFERROR(__xludf.DUMMYFUNCTION("""COMPUTED_VALUE"""),"Christophe")</f>
        <v>Christophe</v>
      </c>
      <c r="E477" s="49" t="str">
        <f ca="1">IFERROR(__xludf.DUMMYFUNCTION("""COMPUTED_VALUE"""),"06570008")</f>
        <v>06570008</v>
      </c>
      <c r="F477" s="48" t="str">
        <f ca="1">IFERROR(__xludf.DUMMYFUNCTION("""COMPUTED_VALUE"""),"L HOPITAL P.P.C. ")</f>
        <v xml:space="preserve">L HOPITAL P.P.C. </v>
      </c>
      <c r="G477" s="50" t="str">
        <f ca="1">IFERROR(__xludf.DUMMYFUNCTION("""COMPUTED_VALUE"""),"CD57")</f>
        <v>CD57</v>
      </c>
      <c r="H477" s="50" t="str">
        <f ca="1">IFERROR(__xludf.DUMMYFUNCTION("""COMPUTED_VALUE"""),"inactivité 1ère année")</f>
        <v>inactivité 1ère année</v>
      </c>
    </row>
    <row r="478" spans="1:8" ht="12.75">
      <c r="A478" s="46">
        <f ca="1">IFERROR(__xludf.DUMMYFUNCTION("""COMPUTED_VALUE"""),466)</f>
        <v>466</v>
      </c>
      <c r="B478" s="65" t="str">
        <f ca="1">IFERROR(__xludf.DUMMYFUNCTION("""COMPUTED_VALUE"""),"5726033")</f>
        <v>5726033</v>
      </c>
      <c r="C478" s="48" t="str">
        <f ca="1">IFERROR(__xludf.DUMMYFUNCTION("""COMPUTED_VALUE"""),"PORTE")</f>
        <v>PORTE</v>
      </c>
      <c r="D478" s="48" t="str">
        <f ca="1">IFERROR(__xludf.DUMMYFUNCTION("""COMPUTED_VALUE"""),"Edouard")</f>
        <v>Edouard</v>
      </c>
      <c r="E478" s="49" t="str">
        <f ca="1">IFERROR(__xludf.DUMMYFUNCTION("""COMPUTED_VALUE"""),"06570107")</f>
        <v>06570107</v>
      </c>
      <c r="F478" s="48" t="str">
        <f ca="1">IFERROR(__xludf.DUMMYFUNCTION("""COMPUTED_VALUE"""),"MAIZIÈRES-LÈS-METZ T.T.")</f>
        <v>MAIZIÈRES-LÈS-METZ T.T.</v>
      </c>
      <c r="G478" s="50" t="str">
        <f ca="1">IFERROR(__xludf.DUMMYFUNCTION("""COMPUTED_VALUE"""),"CD57")</f>
        <v>CD57</v>
      </c>
      <c r="H478" s="50" t="str">
        <f ca="1">IFERROR(__xludf.DUMMYFUNCTION("""COMPUTED_VALUE"""),"inactivité 3ème année")</f>
        <v>inactivité 3ème année</v>
      </c>
    </row>
    <row r="479" spans="1:8" ht="12.75">
      <c r="A479" s="46">
        <f ca="1">IFERROR(__xludf.DUMMYFUNCTION("""COMPUTED_VALUE"""),467)</f>
        <v>467</v>
      </c>
      <c r="B479" s="65" t="str">
        <f ca="1">IFERROR(__xludf.DUMMYFUNCTION("""COMPUTED_VALUE"""),"0211551")</f>
        <v>0211551</v>
      </c>
      <c r="C479" s="48" t="str">
        <f ca="1">IFERROR(__xludf.DUMMYFUNCTION("""COMPUTED_VALUE"""),"POTTIER")</f>
        <v>POTTIER</v>
      </c>
      <c r="D479" s="48" t="str">
        <f ca="1">IFERROR(__xludf.DUMMYFUNCTION("""COMPUTED_VALUE"""),"Arnaud")</f>
        <v>Arnaud</v>
      </c>
      <c r="E479" s="49" t="str">
        <f ca="1">IFERROR(__xludf.DUMMYFUNCTION("""COMPUTED_VALUE"""),"06510001")</f>
        <v>06510001</v>
      </c>
      <c r="F479" s="48" t="str">
        <f ca="1">IFERROR(__xludf.DUMMYFUNCTION("""COMPUTED_VALUE"""),"REIMS OLYMPIQUE TT")</f>
        <v>REIMS OLYMPIQUE TT</v>
      </c>
      <c r="G479" s="50" t="str">
        <f ca="1">IFERROR(__xludf.DUMMYFUNCTION("""COMPUTED_VALUE"""),"CD51")</f>
        <v>CD51</v>
      </c>
      <c r="H479" s="50" t="str">
        <f ca="1">IFERROR(__xludf.DUMMYFUNCTION("""COMPUTED_VALUE"""),"inactivité 2ème année")</f>
        <v>inactivité 2ème année</v>
      </c>
    </row>
    <row r="480" spans="1:8" ht="12.75">
      <c r="A480" s="46">
        <f ca="1">IFERROR(__xludf.DUMMYFUNCTION("""COMPUTED_VALUE"""),468)</f>
        <v>468</v>
      </c>
      <c r="B480" s="65" t="str">
        <f ca="1">IFERROR(__xludf.DUMMYFUNCTION("""COMPUTED_VALUE"""),"794071")</f>
        <v>794071</v>
      </c>
      <c r="C480" s="48" t="str">
        <f ca="1">IFERROR(__xludf.DUMMYFUNCTION("""COMPUTED_VALUE"""),"POUPIN")</f>
        <v>POUPIN</v>
      </c>
      <c r="D480" s="48" t="str">
        <f ca="1">IFERROR(__xludf.DUMMYFUNCTION("""COMPUTED_VALUE"""),"Virginie")</f>
        <v>Virginie</v>
      </c>
      <c r="E480" s="49" t="str">
        <f ca="1">IFERROR(__xludf.DUMMYFUNCTION("""COMPUTED_VALUE"""),"06080035")</f>
        <v>06080035</v>
      </c>
      <c r="F480" s="48" t="str">
        <f ca="1">IFERROR(__xludf.DUMMYFUNCTION("""COMPUTED_VALUE"""),"CHARLEVILLE MEZIERES ARDENNES TT")</f>
        <v>CHARLEVILLE MEZIERES ARDENNES TT</v>
      </c>
      <c r="G480" s="50" t="str">
        <f ca="1">IFERROR(__xludf.DUMMYFUNCTION("""COMPUTED_VALUE"""),"CD08")</f>
        <v>CD08</v>
      </c>
      <c r="H480" s="50" t="str">
        <f ca="1">IFERROR(__xludf.DUMMYFUNCTION("""COMPUTED_VALUE"""),"inactivité 1ère année")</f>
        <v>inactivité 1ère année</v>
      </c>
    </row>
    <row r="481" spans="1:8" ht="12.75">
      <c r="A481" s="46">
        <f ca="1">IFERROR(__xludf.DUMMYFUNCTION("""COMPUTED_VALUE"""),469)</f>
        <v>469</v>
      </c>
      <c r="B481" s="65" t="str">
        <f ca="1">IFERROR(__xludf.DUMMYFUNCTION("""COMPUTED_VALUE"""),"5111871")</f>
        <v>5111871</v>
      </c>
      <c r="C481" s="48" t="str">
        <f ca="1">IFERROR(__xludf.DUMMYFUNCTION("""COMPUTED_VALUE"""),"PRIEUX")</f>
        <v>PRIEUX</v>
      </c>
      <c r="D481" s="48" t="str">
        <f ca="1">IFERROR(__xludf.DUMMYFUNCTION("""COMPUTED_VALUE"""),"Maxime")</f>
        <v>Maxime</v>
      </c>
      <c r="E481" s="49" t="str">
        <f ca="1">IFERROR(__xludf.DUMMYFUNCTION("""COMPUTED_VALUE"""),"06510054")</f>
        <v>06510054</v>
      </c>
      <c r="F481" s="48" t="str">
        <f ca="1">IFERROR(__xludf.DUMMYFUNCTION("""COMPUTED_VALUE"""),"COMPERTRIX FTT")</f>
        <v>COMPERTRIX FTT</v>
      </c>
      <c r="G481" s="50" t="str">
        <f ca="1">IFERROR(__xludf.DUMMYFUNCTION("""COMPUTED_VALUE"""),"CD51")</f>
        <v>CD51</v>
      </c>
      <c r="H481" s="50" t="str">
        <f ca="1">IFERROR(__xludf.DUMMYFUNCTION("""COMPUTED_VALUE"""),"actif")</f>
        <v>actif</v>
      </c>
    </row>
    <row r="482" spans="1:8" ht="12.75">
      <c r="A482" s="46">
        <f ca="1">IFERROR(__xludf.DUMMYFUNCTION("""COMPUTED_VALUE"""),470)</f>
        <v>470</v>
      </c>
      <c r="B482" s="65" t="str">
        <f ca="1">IFERROR(__xludf.DUMMYFUNCTION("""COMPUTED_VALUE"""),"6815002")</f>
        <v>6815002</v>
      </c>
      <c r="C482" s="48" t="str">
        <f ca="1">IFERROR(__xludf.DUMMYFUNCTION("""COMPUTED_VALUE"""),"PROST")</f>
        <v>PROST</v>
      </c>
      <c r="D482" s="48" t="str">
        <f ca="1">IFERROR(__xludf.DUMMYFUNCTION("""COMPUTED_VALUE"""),"Adriana")</f>
        <v>Adriana</v>
      </c>
      <c r="E482" s="49" t="str">
        <f ca="1">IFERROR(__xludf.DUMMYFUNCTION("""COMPUTED_VALUE"""),"06680091")</f>
        <v>06680091</v>
      </c>
      <c r="F482" s="48" t="str">
        <f ca="1">IFERROR(__xludf.DUMMYFUNCTION("""COMPUTED_VALUE"""),"ILLZACH TTSJB")</f>
        <v>ILLZACH TTSJB</v>
      </c>
      <c r="G482" s="50" t="str">
        <f ca="1">IFERROR(__xludf.DUMMYFUNCTION("""COMPUTED_VALUE"""),"CD68")</f>
        <v>CD68</v>
      </c>
      <c r="H482" s="50" t="str">
        <f ca="1">IFERROR(__xludf.DUMMYFUNCTION("""COMPUTED_VALUE"""),"actif")</f>
        <v>actif</v>
      </c>
    </row>
    <row r="483" spans="1:8" ht="12.75">
      <c r="A483" s="46">
        <f ca="1">IFERROR(__xludf.DUMMYFUNCTION("""COMPUTED_VALUE"""),471)</f>
        <v>471</v>
      </c>
      <c r="B483" s="65" t="str">
        <f ca="1">IFERROR(__xludf.DUMMYFUNCTION("""COMPUTED_VALUE"""),"8814397")</f>
        <v>8814397</v>
      </c>
      <c r="C483" s="48" t="str">
        <f ca="1">IFERROR(__xludf.DUMMYFUNCTION("""COMPUTED_VALUE"""),"PROT")</f>
        <v>PROT</v>
      </c>
      <c r="D483" s="48" t="str">
        <f ca="1">IFERROR(__xludf.DUMMYFUNCTION("""COMPUTED_VALUE"""),"Jordan")</f>
        <v>Jordan</v>
      </c>
      <c r="E483" s="49" t="str">
        <f ca="1">IFERROR(__xludf.DUMMYFUNCTION("""COMPUTED_VALUE"""),"06880066")</f>
        <v>06880066</v>
      </c>
      <c r="F483" s="48" t="str">
        <f ca="1">IFERROR(__xludf.DUMMYFUNCTION("""COMPUTED_VALUE"""),"ELOYES C.L.L.T.T.")</f>
        <v>ELOYES C.L.L.T.T.</v>
      </c>
      <c r="G483" s="50" t="str">
        <f ca="1">IFERROR(__xludf.DUMMYFUNCTION("""COMPUTED_VALUE"""),"CD88")</f>
        <v>CD88</v>
      </c>
      <c r="H483" s="50" t="str">
        <f ca="1">IFERROR(__xludf.DUMMYFUNCTION("""COMPUTED_VALUE"""),"inactivité 1ère année")</f>
        <v>inactivité 1ère année</v>
      </c>
    </row>
    <row r="484" spans="1:8" ht="12.75">
      <c r="A484" s="46">
        <f ca="1">IFERROR(__xludf.DUMMYFUNCTION("""COMPUTED_VALUE"""),472)</f>
        <v>472</v>
      </c>
      <c r="B484" s="65" t="str">
        <f ca="1">IFERROR(__xludf.DUMMYFUNCTION("""COMPUTED_VALUE"""),"524508")</f>
        <v>524508</v>
      </c>
      <c r="C484" s="48" t="str">
        <f ca="1">IFERROR(__xludf.DUMMYFUNCTION("""COMPUTED_VALUE"""),"PROTOY")</f>
        <v>PROTOY</v>
      </c>
      <c r="D484" s="48" t="str">
        <f ca="1">IFERROR(__xludf.DUMMYFUNCTION("""COMPUTED_VALUE"""),"Alex")</f>
        <v>Alex</v>
      </c>
      <c r="E484" s="49" t="str">
        <f ca="1">IFERROR(__xludf.DUMMYFUNCTION("""COMPUTED_VALUE"""),"06520054")</f>
        <v>06520054</v>
      </c>
      <c r="F484" s="48" t="str">
        <f ca="1">IFERROR(__xludf.DUMMYFUNCTION("""COMPUTED_VALUE"""),"NOGENT ASNTT")</f>
        <v>NOGENT ASNTT</v>
      </c>
      <c r="G484" s="50" t="str">
        <f ca="1">IFERROR(__xludf.DUMMYFUNCTION("""COMPUTED_VALUE"""),"CD52")</f>
        <v>CD52</v>
      </c>
      <c r="H484" s="50" t="str">
        <f ca="1">IFERROR(__xludf.DUMMYFUNCTION("""COMPUTED_VALUE"""),"inactivité 2ème année")</f>
        <v>inactivité 2ème année</v>
      </c>
    </row>
    <row r="485" spans="1:8" ht="12.75">
      <c r="A485" s="46">
        <f ca="1">IFERROR(__xludf.DUMMYFUNCTION("""COMPUTED_VALUE"""),473)</f>
        <v>473</v>
      </c>
      <c r="B485" s="65" t="str">
        <f ca="1">IFERROR(__xludf.DUMMYFUNCTION("""COMPUTED_VALUE"""),"5415022")</f>
        <v>5415022</v>
      </c>
      <c r="C485" s="48" t="str">
        <f ca="1">IFERROR(__xludf.DUMMYFUNCTION("""COMPUTED_VALUE"""),"PRUDHOMME")</f>
        <v>PRUDHOMME</v>
      </c>
      <c r="D485" s="48" t="str">
        <f ca="1">IFERROR(__xludf.DUMMYFUNCTION("""COMPUTED_VALUE"""),"Olivier")</f>
        <v>Olivier</v>
      </c>
      <c r="E485" s="49" t="str">
        <f ca="1">IFERROR(__xludf.DUMMYFUNCTION("""COMPUTED_VALUE"""),"06570190")</f>
        <v>06570190</v>
      </c>
      <c r="F485" s="48" t="str">
        <f ca="1">IFERROR(__xludf.DUMMYFUNCTION("""COMPUTED_VALUE"""),"METZ Tennis de Table")</f>
        <v>METZ Tennis de Table</v>
      </c>
      <c r="G485" s="50" t="str">
        <f ca="1">IFERROR(__xludf.DUMMYFUNCTION("""COMPUTED_VALUE"""),"CD57")</f>
        <v>CD57</v>
      </c>
      <c r="H485" s="50" t="str">
        <f ca="1">IFERROR(__xludf.DUMMYFUNCTION("""COMPUTED_VALUE"""),"inactivité 2ème année")</f>
        <v>inactivité 2ème année</v>
      </c>
    </row>
    <row r="486" spans="1:8" ht="12.75">
      <c r="A486" s="46">
        <f ca="1">IFERROR(__xludf.DUMMYFUNCTION("""COMPUTED_VALUE"""),474)</f>
        <v>474</v>
      </c>
      <c r="B486" s="65" t="str">
        <f ca="1">IFERROR(__xludf.DUMMYFUNCTION("""COMPUTED_VALUE"""),"6726440")</f>
        <v>6726440</v>
      </c>
      <c r="C486" s="48" t="str">
        <f ca="1">IFERROR(__xludf.DUMMYFUNCTION("""COMPUTED_VALUE"""),"PUGLIESE")</f>
        <v>PUGLIESE</v>
      </c>
      <c r="D486" s="48" t="str">
        <f ca="1">IFERROR(__xludf.DUMMYFUNCTION("""COMPUTED_VALUE"""),"Johann")</f>
        <v>Johann</v>
      </c>
      <c r="E486" s="49" t="str">
        <f ca="1">IFERROR(__xludf.DUMMYFUNCTION("""COMPUTED_VALUE"""),"06670270")</f>
        <v>06670270</v>
      </c>
      <c r="F486" s="48" t="str">
        <f ca="1">IFERROR(__xludf.DUMMYFUNCTION("""COMPUTED_VALUE"""),"STRASBOURG EUROMETROPOLE TT")</f>
        <v>STRASBOURG EUROMETROPOLE TT</v>
      </c>
      <c r="G486" s="50" t="str">
        <f ca="1">IFERROR(__xludf.DUMMYFUNCTION("""COMPUTED_VALUE"""),"CD67")</f>
        <v>CD67</v>
      </c>
      <c r="H486" s="50" t="str">
        <f ca="1">IFERROR(__xludf.DUMMYFUNCTION("""COMPUTED_VALUE"""),"actif")</f>
        <v>actif</v>
      </c>
    </row>
    <row r="487" spans="1:8" ht="12.75">
      <c r="A487" s="46">
        <f ca="1">IFERROR(__xludf.DUMMYFUNCTION("""COMPUTED_VALUE"""),475)</f>
        <v>475</v>
      </c>
      <c r="B487" s="65" t="str">
        <f ca="1">IFERROR(__xludf.DUMMYFUNCTION("""COMPUTED_VALUE"""),"5432291")</f>
        <v>5432291</v>
      </c>
      <c r="C487" s="48" t="str">
        <f ca="1">IFERROR(__xludf.DUMMYFUNCTION("""COMPUTED_VALUE"""),"PUJOL")</f>
        <v>PUJOL</v>
      </c>
      <c r="D487" s="48" t="str">
        <f ca="1">IFERROR(__xludf.DUMMYFUNCTION("""COMPUTED_VALUE"""),"Bastien")</f>
        <v>Bastien</v>
      </c>
      <c r="E487" s="49" t="str">
        <f ca="1">IFERROR(__xludf.DUMMYFUNCTION("""COMPUTED_VALUE"""),"06540032")</f>
        <v>06540032</v>
      </c>
      <c r="F487" s="48" t="str">
        <f ca="1">IFERROR(__xludf.DUMMYFUNCTION("""COMPUTED_VALUE"""),"NEUVES MAISONS TT")</f>
        <v>NEUVES MAISONS TT</v>
      </c>
      <c r="G487" s="50" t="str">
        <f ca="1">IFERROR(__xludf.DUMMYFUNCTION("""COMPUTED_VALUE"""),"CD54")</f>
        <v>CD54</v>
      </c>
      <c r="H487" s="50" t="str">
        <f ca="1">IFERROR(__xludf.DUMMYFUNCTION("""COMPUTED_VALUE"""),"actif")</f>
        <v>actif</v>
      </c>
    </row>
    <row r="488" spans="1:8" ht="12.75">
      <c r="A488" s="46">
        <f ca="1">IFERROR(__xludf.DUMMYFUNCTION("""COMPUTED_VALUE"""),476)</f>
        <v>476</v>
      </c>
      <c r="B488" s="65" t="str">
        <f ca="1">IFERROR(__xludf.DUMMYFUNCTION("""COMPUTED_VALUE"""),"0811403")</f>
        <v>0811403</v>
      </c>
      <c r="C488" s="48" t="str">
        <f ca="1">IFERROR(__xludf.DUMMYFUNCTION("""COMPUTED_VALUE"""),"RAGUET")</f>
        <v>RAGUET</v>
      </c>
      <c r="D488" s="48" t="str">
        <f ca="1">IFERROR(__xludf.DUMMYFUNCTION("""COMPUTED_VALUE"""),"Herve")</f>
        <v>Herve</v>
      </c>
      <c r="E488" s="49" t="str">
        <f ca="1">IFERROR(__xludf.DUMMYFUNCTION("""COMPUTED_VALUE"""),"06080035")</f>
        <v>06080035</v>
      </c>
      <c r="F488" s="48" t="str">
        <f ca="1">IFERROR(__xludf.DUMMYFUNCTION("""COMPUTED_VALUE"""),"CHARLEVILLE MEZIERES ARDENNES TT")</f>
        <v>CHARLEVILLE MEZIERES ARDENNES TT</v>
      </c>
      <c r="G488" s="50" t="str">
        <f ca="1">IFERROR(__xludf.DUMMYFUNCTION("""COMPUTED_VALUE"""),"CD08")</f>
        <v>CD08</v>
      </c>
      <c r="H488" s="50" t="str">
        <f ca="1">IFERROR(__xludf.DUMMYFUNCTION("""COMPUTED_VALUE"""),"actif")</f>
        <v>actif</v>
      </c>
    </row>
    <row r="489" spans="1:8" ht="12.75">
      <c r="A489" s="46">
        <f ca="1">IFERROR(__xludf.DUMMYFUNCTION("""COMPUTED_VALUE"""),477)</f>
        <v>477</v>
      </c>
      <c r="B489" s="65" t="str">
        <f ca="1">IFERROR(__xludf.DUMMYFUNCTION("""COMPUTED_VALUE"""),"5436013")</f>
        <v>5436013</v>
      </c>
      <c r="C489" s="48" t="str">
        <f ca="1">IFERROR(__xludf.DUMMYFUNCTION("""COMPUTED_VALUE"""),"RANGEARD")</f>
        <v>RANGEARD</v>
      </c>
      <c r="D489" s="48" t="str">
        <f ca="1">IFERROR(__xludf.DUMMYFUNCTION("""COMPUTED_VALUE"""),"Malo")</f>
        <v>Malo</v>
      </c>
      <c r="E489" s="49" t="str">
        <f ca="1">IFERROR(__xludf.DUMMYFUNCTION("""COMPUTED_VALUE"""),"06540128")</f>
        <v>06540128</v>
      </c>
      <c r="F489" s="48" t="str">
        <f ca="1">IFERROR(__xludf.DUMMYFUNCTION("""COMPUTED_VALUE"""),"PONT A MOUSSON A.S.T.T.")</f>
        <v>PONT A MOUSSON A.S.T.T.</v>
      </c>
      <c r="G489" s="50" t="str">
        <f ca="1">IFERROR(__xludf.DUMMYFUNCTION("""COMPUTED_VALUE"""),"CD54")</f>
        <v>CD54</v>
      </c>
      <c r="H489" s="50" t="str">
        <f ca="1">IFERROR(__xludf.DUMMYFUNCTION("""COMPUTED_VALUE"""),"actif")</f>
        <v>actif</v>
      </c>
    </row>
    <row r="490" spans="1:8" ht="12.75">
      <c r="A490" s="46">
        <f ca="1">IFERROR(__xludf.DUMMYFUNCTION("""COMPUTED_VALUE"""),478)</f>
        <v>478</v>
      </c>
      <c r="B490" s="65" t="str">
        <f ca="1">IFERROR(__xludf.DUMMYFUNCTION("""COMPUTED_VALUE"""),"6716727")</f>
        <v>6716727</v>
      </c>
      <c r="C490" s="48" t="str">
        <f ca="1">IFERROR(__xludf.DUMMYFUNCTION("""COMPUTED_VALUE"""),"RAT")</f>
        <v>RAT</v>
      </c>
      <c r="D490" s="48" t="str">
        <f ca="1">IFERROR(__xludf.DUMMYFUNCTION("""COMPUTED_VALUE"""),"Thierry")</f>
        <v>Thierry</v>
      </c>
      <c r="E490" s="49" t="str">
        <f ca="1">IFERROR(__xludf.DUMMYFUNCTION("""COMPUTED_VALUE"""),"06670160")</f>
        <v>06670160</v>
      </c>
      <c r="F490" s="48" t="str">
        <f ca="1">IFERROR(__xludf.DUMMYFUNCTION("""COMPUTED_VALUE"""),"T.T.Haguenau Wissembourg")</f>
        <v>T.T.Haguenau Wissembourg</v>
      </c>
      <c r="G490" s="50" t="str">
        <f ca="1">IFERROR(__xludf.DUMMYFUNCTION("""COMPUTED_VALUE"""),"CD67")</f>
        <v>CD67</v>
      </c>
      <c r="H490" s="50" t="str">
        <f ca="1">IFERROR(__xludf.DUMMYFUNCTION("""COMPUTED_VALUE"""),"actif")</f>
        <v>actif</v>
      </c>
    </row>
    <row r="491" spans="1:8" ht="12.75">
      <c r="A491" s="46">
        <f ca="1">IFERROR(__xludf.DUMMYFUNCTION("""COMPUTED_VALUE"""),479)</f>
        <v>479</v>
      </c>
      <c r="B491" s="65" t="str">
        <f ca="1">IFERROR(__xludf.DUMMYFUNCTION("""COMPUTED_VALUE"""),"2215275")</f>
        <v>2215275</v>
      </c>
      <c r="C491" s="48" t="str">
        <f ca="1">IFERROR(__xludf.DUMMYFUNCTION("""COMPUTED_VALUE"""),"RAVELET")</f>
        <v>RAVELET</v>
      </c>
      <c r="D491" s="48" t="str">
        <f ca="1">IFERROR(__xludf.DUMMYFUNCTION("""COMPUTED_VALUE"""),"Arnaud")</f>
        <v>Arnaud</v>
      </c>
      <c r="E491" s="49" t="str">
        <f ca="1">IFERROR(__xludf.DUMMYFUNCTION("""COMPUTED_VALUE"""),"06570073")</f>
        <v>06570073</v>
      </c>
      <c r="F491" s="48" t="str">
        <f ca="1">IFERROR(__xludf.DUMMYFUNCTION("""COMPUTED_VALUE"""),"TERVILLE Tennis de Table")</f>
        <v>TERVILLE Tennis de Table</v>
      </c>
      <c r="G491" s="50" t="str">
        <f ca="1">IFERROR(__xludf.DUMMYFUNCTION("""COMPUTED_VALUE"""),"CD57")</f>
        <v>CD57</v>
      </c>
      <c r="H491" s="50" t="str">
        <f ca="1">IFERROR(__xludf.DUMMYFUNCTION("""COMPUTED_VALUE"""),"actif")</f>
        <v>actif</v>
      </c>
    </row>
    <row r="492" spans="1:8" ht="12.75">
      <c r="A492" s="46">
        <f ca="1">IFERROR(__xludf.DUMMYFUNCTION("""COMPUTED_VALUE"""),480)</f>
        <v>480</v>
      </c>
      <c r="B492" s="65" t="str">
        <f ca="1">IFERROR(__xludf.DUMMYFUNCTION("""COMPUTED_VALUE"""),"549708")</f>
        <v>549708</v>
      </c>
      <c r="C492" s="48" t="str">
        <f ca="1">IFERROR(__xludf.DUMMYFUNCTION("""COMPUTED_VALUE"""),"REFF")</f>
        <v>REFF</v>
      </c>
      <c r="D492" s="48" t="str">
        <f ca="1">IFERROR(__xludf.DUMMYFUNCTION("""COMPUTED_VALUE"""),"Jean Claude")</f>
        <v>Jean Claude</v>
      </c>
      <c r="E492" s="49" t="str">
        <f ca="1">IFERROR(__xludf.DUMMYFUNCTION("""COMPUTED_VALUE"""),"06540055")</f>
        <v>06540055</v>
      </c>
      <c r="F492" s="48" t="str">
        <f ca="1">IFERROR(__xludf.DUMMYFUNCTION("""COMPUTED_VALUE"""),"LAY SAINT CHRISTOPHE TTLSC")</f>
        <v>LAY SAINT CHRISTOPHE TTLSC</v>
      </c>
      <c r="G492" s="50" t="str">
        <f ca="1">IFERROR(__xludf.DUMMYFUNCTION("""COMPUTED_VALUE"""),"CD54")</f>
        <v>CD54</v>
      </c>
      <c r="H492" s="50" t="str">
        <f ca="1">IFERROR(__xludf.DUMMYFUNCTION("""COMPUTED_VALUE"""),"actif")</f>
        <v>actif</v>
      </c>
    </row>
    <row r="493" spans="1:8" ht="12.75">
      <c r="A493" s="140">
        <f ca="1">IFERROR(__xludf.DUMMYFUNCTION("""COMPUTED_VALUE"""),481)</f>
        <v>481</v>
      </c>
      <c r="B493" s="136" t="str">
        <f ca="1">IFERROR(__xludf.DUMMYFUNCTION("""COMPUTED_VALUE"""),"67635")</f>
        <v>67635</v>
      </c>
      <c r="C493" s="137" t="str">
        <f ca="1">IFERROR(__xludf.DUMMYFUNCTION("""COMPUTED_VALUE"""),"REIBEL")</f>
        <v>REIBEL</v>
      </c>
      <c r="D493" s="137" t="str">
        <f ca="1">IFERROR(__xludf.DUMMYFUNCTION("""COMPUTED_VALUE"""),"Christophe")</f>
        <v>Christophe</v>
      </c>
      <c r="E493" s="138" t="str">
        <f ca="1">IFERROR(__xludf.DUMMYFUNCTION("""COMPUTED_VALUE"""),"06670058")</f>
        <v>06670058</v>
      </c>
      <c r="F493" s="137" t="str">
        <f ca="1">IFERROR(__xludf.DUMMYFUNCTION("""COMPUTED_VALUE"""),"BENFELD LAURENTIA S.S.C.")</f>
        <v>BENFELD LAURENTIA S.S.C.</v>
      </c>
      <c r="G493" s="139" t="str">
        <f ca="1">IFERROR(__xludf.DUMMYFUNCTION("""COMPUTED_VALUE"""),"CD67")</f>
        <v>CD67</v>
      </c>
      <c r="H493" s="139" t="str">
        <f ca="1">IFERROR(__xludf.DUMMYFUNCTION("""COMPUTED_VALUE"""),"inactivité 2ème année")</f>
        <v>inactivité 2ème année</v>
      </c>
    </row>
    <row r="494" spans="1:8" ht="12.75">
      <c r="A494" s="140">
        <f ca="1">IFERROR(__xludf.DUMMYFUNCTION("""COMPUTED_VALUE"""),482)</f>
        <v>482</v>
      </c>
      <c r="B494" s="136" t="str">
        <f ca="1">IFERROR(__xludf.DUMMYFUNCTION("""COMPUTED_VALUE"""),"6720773")</f>
        <v>6720773</v>
      </c>
      <c r="C494" s="137" t="str">
        <f ca="1">IFERROR(__xludf.DUMMYFUNCTION("""COMPUTED_VALUE"""),"REIBEL")</f>
        <v>REIBEL</v>
      </c>
      <c r="D494" s="137" t="str">
        <f ca="1">IFERROR(__xludf.DUMMYFUNCTION("""COMPUTED_VALUE"""),"Marc")</f>
        <v>Marc</v>
      </c>
      <c r="E494" s="138" t="str">
        <f ca="1">IFERROR(__xludf.DUMMYFUNCTION("""COMPUTED_VALUE"""),"06670058")</f>
        <v>06670058</v>
      </c>
      <c r="F494" s="137" t="str">
        <f ca="1">IFERROR(__xludf.DUMMYFUNCTION("""COMPUTED_VALUE"""),"BENFELD LAURENTIA S.S.C.")</f>
        <v>BENFELD LAURENTIA S.S.C.</v>
      </c>
      <c r="G494" s="139" t="str">
        <f ca="1">IFERROR(__xludf.DUMMYFUNCTION("""COMPUTED_VALUE"""),"CD67")</f>
        <v>CD67</v>
      </c>
      <c r="H494" s="139" t="str">
        <f ca="1">IFERROR(__xludf.DUMMYFUNCTION("""COMPUTED_VALUE"""),"actif")</f>
        <v>actif</v>
      </c>
    </row>
    <row r="495" spans="1:8" ht="12.75">
      <c r="A495" s="46">
        <f ca="1">IFERROR(__xludf.DUMMYFUNCTION("""COMPUTED_VALUE"""),483)</f>
        <v>483</v>
      </c>
      <c r="B495" s="65" t="str">
        <f ca="1">IFERROR(__xludf.DUMMYFUNCTION("""COMPUTED_VALUE"""),"54467")</f>
        <v>54467</v>
      </c>
      <c r="C495" s="48" t="str">
        <f ca="1">IFERROR(__xludf.DUMMYFUNCTION("""COMPUTED_VALUE"""),"REMLE")</f>
        <v>REMLE</v>
      </c>
      <c r="D495" s="48" t="str">
        <f ca="1">IFERROR(__xludf.DUMMYFUNCTION("""COMPUTED_VALUE"""),"Sebastien")</f>
        <v>Sebastien</v>
      </c>
      <c r="E495" s="49" t="str">
        <f ca="1">IFERROR(__xludf.DUMMYFUNCTION("""COMPUTED_VALUE"""),"06540020")</f>
        <v>06540020</v>
      </c>
      <c r="F495" s="48" t="str">
        <f ca="1">IFERROR(__xludf.DUMMYFUNCTION("""COMPUTED_VALUE"""),"DOMBASLE STT")</f>
        <v>DOMBASLE STT</v>
      </c>
      <c r="G495" s="50" t="str">
        <f ca="1">IFERROR(__xludf.DUMMYFUNCTION("""COMPUTED_VALUE"""),"CD54")</f>
        <v>CD54</v>
      </c>
      <c r="H495" s="50" t="str">
        <f ca="1">IFERROR(__xludf.DUMMYFUNCTION("""COMPUTED_VALUE"""),"inactivité 2ème année")</f>
        <v>inactivité 2ème année</v>
      </c>
    </row>
    <row r="496" spans="1:8" ht="12.75">
      <c r="A496" s="46">
        <f ca="1">IFERROR(__xludf.DUMMYFUNCTION("""COMPUTED_VALUE"""),484)</f>
        <v>484</v>
      </c>
      <c r="B496" s="65" t="str">
        <f ca="1">IFERROR(__xludf.DUMMYFUNCTION("""COMPUTED_VALUE"""),"54466")</f>
        <v>54466</v>
      </c>
      <c r="C496" s="48" t="str">
        <f ca="1">IFERROR(__xludf.DUMMYFUNCTION("""COMPUTED_VALUE"""),"REMLE")</f>
        <v>REMLE</v>
      </c>
      <c r="D496" s="48" t="str">
        <f ca="1">IFERROR(__xludf.DUMMYFUNCTION("""COMPUTED_VALUE"""),"Didier")</f>
        <v>Didier</v>
      </c>
      <c r="E496" s="49" t="str">
        <f ca="1">IFERROR(__xludf.DUMMYFUNCTION("""COMPUTED_VALUE"""),"06540020")</f>
        <v>06540020</v>
      </c>
      <c r="F496" s="48" t="str">
        <f ca="1">IFERROR(__xludf.DUMMYFUNCTION("""COMPUTED_VALUE"""),"DOMBASLE STT")</f>
        <v>DOMBASLE STT</v>
      </c>
      <c r="G496" s="50" t="str">
        <f ca="1">IFERROR(__xludf.DUMMYFUNCTION("""COMPUTED_VALUE"""),"CD54")</f>
        <v>CD54</v>
      </c>
      <c r="H496" s="50" t="str">
        <f ca="1">IFERROR(__xludf.DUMMYFUNCTION("""COMPUTED_VALUE"""),"inactivité 2ème année")</f>
        <v>inactivité 2ème année</v>
      </c>
    </row>
    <row r="497" spans="1:8" ht="12.75">
      <c r="A497" s="46">
        <f ca="1">IFERROR(__xludf.DUMMYFUNCTION("""COMPUTED_VALUE"""),485)</f>
        <v>485</v>
      </c>
      <c r="B497" s="65" t="str">
        <f ca="1">IFERROR(__xludf.DUMMYFUNCTION("""COMPUTED_VALUE"""),"5421005")</f>
        <v>5421005</v>
      </c>
      <c r="C497" s="48" t="str">
        <f ca="1">IFERROR(__xludf.DUMMYFUNCTION("""COMPUTED_VALUE"""),"RENARD")</f>
        <v>RENARD</v>
      </c>
      <c r="D497" s="48" t="str">
        <f ca="1">IFERROR(__xludf.DUMMYFUNCTION("""COMPUTED_VALUE"""),"Emile")</f>
        <v>Emile</v>
      </c>
      <c r="E497" s="49" t="str">
        <f ca="1">IFERROR(__xludf.DUMMYFUNCTION("""COMPUTED_VALUE"""),"06540157")</f>
        <v>06540157</v>
      </c>
      <c r="F497" s="48" t="str">
        <f ca="1">IFERROR(__xludf.DUMMYFUNCTION("""COMPUTED_VALUE"""),"ST NICOLAS DE PORT PPCP")</f>
        <v>ST NICOLAS DE PORT PPCP</v>
      </c>
      <c r="G497" s="50" t="str">
        <f ca="1">IFERROR(__xludf.DUMMYFUNCTION("""COMPUTED_VALUE"""),"CD54")</f>
        <v>CD54</v>
      </c>
      <c r="H497" s="50" t="str">
        <f ca="1">IFERROR(__xludf.DUMMYFUNCTION("""COMPUTED_VALUE"""),"inactivité 3ème année")</f>
        <v>inactivité 3ème année</v>
      </c>
    </row>
    <row r="498" spans="1:8" ht="12.75">
      <c r="A498" s="46">
        <f ca="1">IFERROR(__xludf.DUMMYFUNCTION("""COMPUTED_VALUE"""),486)</f>
        <v>486</v>
      </c>
      <c r="B498" s="65" t="str">
        <f ca="1">IFERROR(__xludf.DUMMYFUNCTION("""COMPUTED_VALUE"""),"513441")</f>
        <v>513441</v>
      </c>
      <c r="C498" s="48" t="str">
        <f ca="1">IFERROR(__xludf.DUMMYFUNCTION("""COMPUTED_VALUE"""),"RENAUX")</f>
        <v>RENAUX</v>
      </c>
      <c r="D498" s="48" t="str">
        <f ca="1">IFERROR(__xludf.DUMMYFUNCTION("""COMPUTED_VALUE"""),"Regine")</f>
        <v>Regine</v>
      </c>
      <c r="E498" s="49" t="str">
        <f ca="1">IFERROR(__xludf.DUMMYFUNCTION("""COMPUTED_VALUE"""),"06510019")</f>
        <v>06510019</v>
      </c>
      <c r="F498" s="48" t="str">
        <f ca="1">IFERROR(__xludf.DUMMYFUNCTION("""COMPUTED_VALUE"""),"TAISSY ASTT")</f>
        <v>TAISSY ASTT</v>
      </c>
      <c r="G498" s="50" t="str">
        <f ca="1">IFERROR(__xludf.DUMMYFUNCTION("""COMPUTED_VALUE"""),"CD51")</f>
        <v>CD51</v>
      </c>
      <c r="H498" s="50" t="str">
        <f ca="1">IFERROR(__xludf.DUMMYFUNCTION("""COMPUTED_VALUE"""),"actif")</f>
        <v>actif</v>
      </c>
    </row>
    <row r="499" spans="1:8" ht="12.75">
      <c r="A499" s="46">
        <f ca="1">IFERROR(__xludf.DUMMYFUNCTION("""COMPUTED_VALUE"""),487)</f>
        <v>487</v>
      </c>
      <c r="B499" s="65" t="str">
        <f ca="1">IFERROR(__xludf.DUMMYFUNCTION("""COMPUTED_VALUE"""),"6728366")</f>
        <v>6728366</v>
      </c>
      <c r="C499" s="48" t="str">
        <f ca="1">IFERROR(__xludf.DUMMYFUNCTION("""COMPUTED_VALUE"""),"RENCK")</f>
        <v>RENCK</v>
      </c>
      <c r="D499" s="48" t="str">
        <f ca="1">IFERROR(__xludf.DUMMYFUNCTION("""COMPUTED_VALUE"""),"Alain")</f>
        <v>Alain</v>
      </c>
      <c r="E499" s="49" t="str">
        <f ca="1">IFERROR(__xludf.DUMMYFUNCTION("""COMPUTED_VALUE"""),"06670045")</f>
        <v>06670045</v>
      </c>
      <c r="F499" s="48" t="str">
        <f ca="1">IFERROR(__xludf.DUMMYFUNCTION("""COMPUTED_VALUE"""),"STRASBOURG RC")</f>
        <v>STRASBOURG RC</v>
      </c>
      <c r="G499" s="50" t="str">
        <f ca="1">IFERROR(__xludf.DUMMYFUNCTION("""COMPUTED_VALUE"""),"CD67")</f>
        <v>CD67</v>
      </c>
      <c r="H499" s="50" t="str">
        <f ca="1">IFERROR(__xludf.DUMMYFUNCTION("""COMPUTED_VALUE"""),"actif")</f>
        <v>actif</v>
      </c>
    </row>
    <row r="500" spans="1:8" ht="12.75">
      <c r="A500" s="46">
        <f ca="1">IFERROR(__xludf.DUMMYFUNCTION("""COMPUTED_VALUE"""),488)</f>
        <v>488</v>
      </c>
      <c r="B500" s="65" t="str">
        <f ca="1">IFERROR(__xludf.DUMMYFUNCTION("""COMPUTED_VALUE"""),"8813604")</f>
        <v>8813604</v>
      </c>
      <c r="C500" s="48" t="str">
        <f ca="1">IFERROR(__xludf.DUMMYFUNCTION("""COMPUTED_VALUE"""),"RICHARD")</f>
        <v>RICHARD</v>
      </c>
      <c r="D500" s="48" t="str">
        <f ca="1">IFERROR(__xludf.DUMMYFUNCTION("""COMPUTED_VALUE"""),"Thierry")</f>
        <v>Thierry</v>
      </c>
      <c r="E500" s="49" t="str">
        <f ca="1">IFERROR(__xludf.DUMMYFUNCTION("""COMPUTED_VALUE"""),"06880101")</f>
        <v>06880101</v>
      </c>
      <c r="F500" s="48" t="str">
        <f ca="1">IFERROR(__xludf.DUMMYFUNCTION("""COMPUTED_VALUE"""),"DOMFAING-BRUYERES Ent.MJC")</f>
        <v>DOMFAING-BRUYERES Ent.MJC</v>
      </c>
      <c r="G500" s="50" t="str">
        <f ca="1">IFERROR(__xludf.DUMMYFUNCTION("""COMPUTED_VALUE"""),"CD88")</f>
        <v>CD88</v>
      </c>
      <c r="H500" s="50" t="str">
        <f ca="1">IFERROR(__xludf.DUMMYFUNCTION("""COMPUTED_VALUE"""),"inactivité 1ère année")</f>
        <v>inactivité 1ère année</v>
      </c>
    </row>
    <row r="501" spans="1:8" ht="12.75">
      <c r="A501" s="46">
        <f ca="1">IFERROR(__xludf.DUMMYFUNCTION("""COMPUTED_VALUE"""),489)</f>
        <v>489</v>
      </c>
      <c r="B501" s="65" t="str">
        <f ca="1">IFERROR(__xludf.DUMMYFUNCTION("""COMPUTED_VALUE"""),"5424275")</f>
        <v>5424275</v>
      </c>
      <c r="C501" s="48" t="str">
        <f ca="1">IFERROR(__xludf.DUMMYFUNCTION("""COMPUTED_VALUE"""),"RICHARD")</f>
        <v>RICHARD</v>
      </c>
      <c r="D501" s="48" t="str">
        <f ca="1">IFERROR(__xludf.DUMMYFUNCTION("""COMPUTED_VALUE"""),"Christelle")</f>
        <v>Christelle</v>
      </c>
      <c r="E501" s="49" t="str">
        <f ca="1">IFERROR(__xludf.DUMMYFUNCTION("""COMPUTED_VALUE"""),"06540032")</f>
        <v>06540032</v>
      </c>
      <c r="F501" s="48" t="str">
        <f ca="1">IFERROR(__xludf.DUMMYFUNCTION("""COMPUTED_VALUE"""),"NEUVES MAISONS TT")</f>
        <v>NEUVES MAISONS TT</v>
      </c>
      <c r="G501" s="50" t="str">
        <f ca="1">IFERROR(__xludf.DUMMYFUNCTION("""COMPUTED_VALUE"""),"CD54")</f>
        <v>CD54</v>
      </c>
      <c r="H501" s="50" t="str">
        <f ca="1">IFERROR(__xludf.DUMMYFUNCTION("""COMPUTED_VALUE"""),"actif")</f>
        <v>actif</v>
      </c>
    </row>
    <row r="502" spans="1:8" ht="12.75">
      <c r="A502" s="46">
        <f ca="1">IFERROR(__xludf.DUMMYFUNCTION("""COMPUTED_VALUE"""),490)</f>
        <v>490</v>
      </c>
      <c r="B502" s="65" t="str">
        <f ca="1">IFERROR(__xludf.DUMMYFUNCTION("""COMPUTED_VALUE"""),"089376")</f>
        <v>089376</v>
      </c>
      <c r="C502" s="48" t="str">
        <f ca="1">IFERROR(__xludf.DUMMYFUNCTION("""COMPUTED_VALUE"""),"RICHEZ")</f>
        <v>RICHEZ</v>
      </c>
      <c r="D502" s="48" t="str">
        <f ca="1">IFERROR(__xludf.DUMMYFUNCTION("""COMPUTED_VALUE"""),"Jordy")</f>
        <v>Jordy</v>
      </c>
      <c r="E502" s="49" t="str">
        <f ca="1">IFERROR(__xludf.DUMMYFUNCTION("""COMPUTED_VALUE"""),"06080006")</f>
        <v>06080006</v>
      </c>
      <c r="F502" s="48" t="str">
        <f ca="1">IFERROR(__xludf.DUMMYFUNCTION("""COMPUTED_VALUE"""),"BAZEILLES PPC")</f>
        <v>BAZEILLES PPC</v>
      </c>
      <c r="G502" s="50" t="str">
        <f ca="1">IFERROR(__xludf.DUMMYFUNCTION("""COMPUTED_VALUE"""),"CD08")</f>
        <v>CD08</v>
      </c>
      <c r="H502" s="50" t="str">
        <f ca="1">IFERROR(__xludf.DUMMYFUNCTION("""COMPUTED_VALUE"""),"inactivité 3ème année")</f>
        <v>inactivité 3ème année</v>
      </c>
    </row>
    <row r="503" spans="1:8" ht="12.75">
      <c r="A503" s="46">
        <f ca="1">IFERROR(__xludf.DUMMYFUNCTION("""COMPUTED_VALUE"""),491)</f>
        <v>491</v>
      </c>
      <c r="B503" s="65" t="str">
        <f ca="1">IFERROR(__xludf.DUMMYFUNCTION("""COMPUTED_VALUE"""),"091019")</f>
        <v>091019</v>
      </c>
      <c r="C503" s="48" t="str">
        <f ca="1">IFERROR(__xludf.DUMMYFUNCTION("""COMPUTED_VALUE"""),"RINCON")</f>
        <v>RINCON</v>
      </c>
      <c r="D503" s="48" t="str">
        <f ca="1">IFERROR(__xludf.DUMMYFUNCTION("""COMPUTED_VALUE"""),"Vincent")</f>
        <v>Vincent</v>
      </c>
      <c r="E503" s="49" t="str">
        <f ca="1">IFERROR(__xludf.DUMMYFUNCTION("""COMPUTED_VALUE"""),"06670014")</f>
        <v>06670014</v>
      </c>
      <c r="F503" s="48" t="str">
        <f ca="1">IFERROR(__xludf.DUMMYFUNCTION("""COMPUTED_VALUE"""),"ILLKIRCH GRAFFENSTADEN AP")</f>
        <v>ILLKIRCH GRAFFENSTADEN AP</v>
      </c>
      <c r="G503" s="50" t="str">
        <f ca="1">IFERROR(__xludf.DUMMYFUNCTION("""COMPUTED_VALUE"""),"CD67")</f>
        <v>CD67</v>
      </c>
      <c r="H503" s="50" t="str">
        <f ca="1">IFERROR(__xludf.DUMMYFUNCTION("""COMPUTED_VALUE"""),"actif")</f>
        <v>actif</v>
      </c>
    </row>
    <row r="504" spans="1:8" ht="12.75">
      <c r="A504" s="46">
        <f ca="1">IFERROR(__xludf.DUMMYFUNCTION("""COMPUTED_VALUE"""),492)</f>
        <v>492</v>
      </c>
      <c r="B504" s="65" t="str">
        <f ca="1">IFERROR(__xludf.DUMMYFUNCTION("""COMPUTED_VALUE"""),"8814454")</f>
        <v>8814454</v>
      </c>
      <c r="C504" s="48" t="str">
        <f ca="1">IFERROR(__xludf.DUMMYFUNCTION("""COMPUTED_VALUE"""),"RINGENBACH")</f>
        <v>RINGENBACH</v>
      </c>
      <c r="D504" s="48" t="str">
        <f ca="1">IFERROR(__xludf.DUMMYFUNCTION("""COMPUTED_VALUE"""),"Manon")</f>
        <v>Manon</v>
      </c>
      <c r="E504" s="49" t="str">
        <f ca="1">IFERROR(__xludf.DUMMYFUNCTION("""COMPUTED_VALUE"""),"06540040")</f>
        <v>06540040</v>
      </c>
      <c r="F504" s="48" t="str">
        <f ca="1">IFERROR(__xludf.DUMMYFUNCTION("""COMPUTED_VALUE"""),"VILLERS LES NANCY C.O.S.")</f>
        <v>VILLERS LES NANCY C.O.S.</v>
      </c>
      <c r="G504" s="50" t="str">
        <f ca="1">IFERROR(__xludf.DUMMYFUNCTION("""COMPUTED_VALUE"""),"CD54")</f>
        <v>CD54</v>
      </c>
      <c r="H504" s="50" t="str">
        <f ca="1">IFERROR(__xludf.DUMMYFUNCTION("""COMPUTED_VALUE"""),"inactivité 2ème année")</f>
        <v>inactivité 2ème année</v>
      </c>
    </row>
    <row r="505" spans="1:8" ht="12.75">
      <c r="A505" s="46">
        <f ca="1">IFERROR(__xludf.DUMMYFUNCTION("""COMPUTED_VALUE"""),493)</f>
        <v>493</v>
      </c>
      <c r="B505" s="65" t="str">
        <f ca="1">IFERROR(__xludf.DUMMYFUNCTION("""COMPUTED_VALUE"""),"6720875")</f>
        <v>6720875</v>
      </c>
      <c r="C505" s="48" t="str">
        <f ca="1">IFERROR(__xludf.DUMMYFUNCTION("""COMPUTED_VALUE"""),"RINIE")</f>
        <v>RINIE</v>
      </c>
      <c r="D505" s="48" t="str">
        <f ca="1">IFERROR(__xludf.DUMMYFUNCTION("""COMPUTED_VALUE"""),"Yvon")</f>
        <v>Yvon</v>
      </c>
      <c r="E505" s="49" t="str">
        <f ca="1">IFERROR(__xludf.DUMMYFUNCTION("""COMPUTED_VALUE"""),"06670219")</f>
        <v>06670219</v>
      </c>
      <c r="F505" s="48" t="str">
        <f ca="1">IFERROR(__xludf.DUMMYFUNCTION("""COMPUTED_VALUE"""),"BEINHEIM C.T.T.B.")</f>
        <v>BEINHEIM C.T.T.B.</v>
      </c>
      <c r="G505" s="50" t="str">
        <f ca="1">IFERROR(__xludf.DUMMYFUNCTION("""COMPUTED_VALUE"""),"CD67")</f>
        <v>CD67</v>
      </c>
      <c r="H505" s="50" t="str">
        <f ca="1">IFERROR(__xludf.DUMMYFUNCTION("""COMPUTED_VALUE"""),"inactivité 1ère année")</f>
        <v>inactivité 1ère année</v>
      </c>
    </row>
    <row r="506" spans="1:8" ht="12.75">
      <c r="A506" s="46">
        <f ca="1">IFERROR(__xludf.DUMMYFUNCTION("""COMPUTED_VALUE"""),494)</f>
        <v>494</v>
      </c>
      <c r="B506" s="65" t="str">
        <f ca="1">IFERROR(__xludf.DUMMYFUNCTION("""COMPUTED_VALUE"""),"881650")</f>
        <v>881650</v>
      </c>
      <c r="C506" s="48" t="str">
        <f ca="1">IFERROR(__xludf.DUMMYFUNCTION("""COMPUTED_VALUE"""),"RIONDE")</f>
        <v>RIONDE</v>
      </c>
      <c r="D506" s="48" t="str">
        <f ca="1">IFERROR(__xludf.DUMMYFUNCTION("""COMPUTED_VALUE"""),"Fabrice")</f>
        <v>Fabrice</v>
      </c>
      <c r="E506" s="49" t="str">
        <f ca="1">IFERROR(__xludf.DUMMYFUNCTION("""COMPUTED_VALUE"""),"06880022")</f>
        <v>06880022</v>
      </c>
      <c r="F506" s="48" t="str">
        <f ca="1">IFERROR(__xludf.DUMMYFUNCTION("""COMPUTED_VALUE"""),"VITTEL SAINT REMY TT")</f>
        <v>VITTEL SAINT REMY TT</v>
      </c>
      <c r="G506" s="50" t="str">
        <f ca="1">IFERROR(__xludf.DUMMYFUNCTION("""COMPUTED_VALUE"""),"CD88")</f>
        <v>CD88</v>
      </c>
      <c r="H506" s="50" t="str">
        <f ca="1">IFERROR(__xludf.DUMMYFUNCTION("""COMPUTED_VALUE"""),"inactivité 3ème année")</f>
        <v>inactivité 3ème année</v>
      </c>
    </row>
    <row r="507" spans="1:8" ht="12.75">
      <c r="A507" s="46">
        <f ca="1">IFERROR(__xludf.DUMMYFUNCTION("""COMPUTED_VALUE"""),495)</f>
        <v>495</v>
      </c>
      <c r="B507" s="65" t="str">
        <f ca="1">IFERROR(__xludf.DUMMYFUNCTION("""COMPUTED_VALUE"""),"682136")</f>
        <v>682136</v>
      </c>
      <c r="C507" s="48" t="str">
        <f ca="1">IFERROR(__xludf.DUMMYFUNCTION("""COMPUTED_VALUE"""),"RITTER")</f>
        <v>RITTER</v>
      </c>
      <c r="D507" s="48" t="str">
        <f ca="1">IFERROR(__xludf.DUMMYFUNCTION("""COMPUTED_VALUE"""),"Stephane")</f>
        <v>Stephane</v>
      </c>
      <c r="E507" s="49" t="str">
        <f ca="1">IFERROR(__xludf.DUMMYFUNCTION("""COMPUTED_VALUE"""),"06680004")</f>
        <v>06680004</v>
      </c>
      <c r="F507" s="48" t="str">
        <f ca="1">IFERROR(__xludf.DUMMYFUNCTION("""COMPUTED_VALUE"""),"COLMAR MJC")</f>
        <v>COLMAR MJC</v>
      </c>
      <c r="G507" s="50" t="str">
        <f ca="1">IFERROR(__xludf.DUMMYFUNCTION("""COMPUTED_VALUE"""),"CD68")</f>
        <v>CD68</v>
      </c>
      <c r="H507" s="50" t="str">
        <f ca="1">IFERROR(__xludf.DUMMYFUNCTION("""COMPUTED_VALUE"""),"inactivité 1ère année")</f>
        <v>inactivité 1ère année</v>
      </c>
    </row>
    <row r="508" spans="1:8" ht="12.75">
      <c r="A508" s="46">
        <f ca="1">IFERROR(__xludf.DUMMYFUNCTION("""COMPUTED_VALUE"""),496)</f>
        <v>496</v>
      </c>
      <c r="B508" s="65" t="str">
        <f ca="1">IFERROR(__xludf.DUMMYFUNCTION("""COMPUTED_VALUE"""),"8811100")</f>
        <v>8811100</v>
      </c>
      <c r="C508" s="48" t="str">
        <f ca="1">IFERROR(__xludf.DUMMYFUNCTION("""COMPUTED_VALUE"""),"RIVAT")</f>
        <v>RIVAT</v>
      </c>
      <c r="D508" s="48" t="str">
        <f ca="1">IFERROR(__xludf.DUMMYFUNCTION("""COMPUTED_VALUE"""),"Benjamin")</f>
        <v>Benjamin</v>
      </c>
      <c r="E508" s="49" t="str">
        <f ca="1">IFERROR(__xludf.DUMMYFUNCTION("""COMPUTED_VALUE"""),"06880145")</f>
        <v>06880145</v>
      </c>
      <c r="F508" s="48" t="str">
        <f ca="1">IFERROR(__xludf.DUMMYFUNCTION("""COMPUTED_VALUE"""),"THAON CHENIMENIL E.S.T.T.")</f>
        <v>THAON CHENIMENIL E.S.T.T.</v>
      </c>
      <c r="G508" s="50" t="str">
        <f ca="1">IFERROR(__xludf.DUMMYFUNCTION("""COMPUTED_VALUE"""),"CD88")</f>
        <v>CD88</v>
      </c>
      <c r="H508" s="50" t="str">
        <f ca="1">IFERROR(__xludf.DUMMYFUNCTION("""COMPUTED_VALUE"""),"inactivité 1ère année")</f>
        <v>inactivité 1ère année</v>
      </c>
    </row>
    <row r="509" spans="1:8" ht="12.75">
      <c r="A509" s="46">
        <f ca="1">IFERROR(__xludf.DUMMYFUNCTION("""COMPUTED_VALUE"""),497)</f>
        <v>497</v>
      </c>
      <c r="B509" s="65" t="str">
        <f ca="1">IFERROR(__xludf.DUMMYFUNCTION("""COMPUTED_VALUE"""),"106032")</f>
        <v>106032</v>
      </c>
      <c r="C509" s="48" t="str">
        <f ca="1">IFERROR(__xludf.DUMMYFUNCTION("""COMPUTED_VALUE"""),"ROBAT")</f>
        <v>ROBAT</v>
      </c>
      <c r="D509" s="48" t="str">
        <f ca="1">IFERROR(__xludf.DUMMYFUNCTION("""COMPUTED_VALUE"""),"Carine")</f>
        <v>Carine</v>
      </c>
      <c r="E509" s="49" t="str">
        <f ca="1">IFERROR(__xludf.DUMMYFUNCTION("""COMPUTED_VALUE"""),"06100040")</f>
        <v>06100040</v>
      </c>
      <c r="F509" s="48" t="str">
        <f ca="1">IFERROR(__xludf.DUMMYFUNCTION("""COMPUTED_VALUE"""),"ROMILLY-VILLENAUXE CAP")</f>
        <v>ROMILLY-VILLENAUXE CAP</v>
      </c>
      <c r="G509" s="50" t="str">
        <f ca="1">IFERROR(__xludf.DUMMYFUNCTION("""COMPUTED_VALUE"""),"CD10")</f>
        <v>CD10</v>
      </c>
      <c r="H509" s="50" t="str">
        <f ca="1">IFERROR(__xludf.DUMMYFUNCTION("""COMPUTED_VALUE"""),"inactivité 3ème année")</f>
        <v>inactivité 3ème année</v>
      </c>
    </row>
    <row r="510" spans="1:8" ht="12.75">
      <c r="A510" s="46">
        <f ca="1">IFERROR(__xludf.DUMMYFUNCTION("""COMPUTED_VALUE"""),498)</f>
        <v>498</v>
      </c>
      <c r="B510" s="65" t="str">
        <f ca="1">IFERROR(__xludf.DUMMYFUNCTION("""COMPUTED_VALUE"""),"881642")</f>
        <v>881642</v>
      </c>
      <c r="C510" s="48" t="str">
        <f ca="1">IFERROR(__xludf.DUMMYFUNCTION("""COMPUTED_VALUE"""),"ROBERT")</f>
        <v>ROBERT</v>
      </c>
      <c r="D510" s="48" t="str">
        <f ca="1">IFERROR(__xludf.DUMMYFUNCTION("""COMPUTED_VALUE"""),"Etienne")</f>
        <v>Etienne</v>
      </c>
      <c r="E510" s="49" t="str">
        <f ca="1">IFERROR(__xludf.DUMMYFUNCTION("""COMPUTED_VALUE"""),"06880101")</f>
        <v>06880101</v>
      </c>
      <c r="F510" s="48" t="str">
        <f ca="1">IFERROR(__xludf.DUMMYFUNCTION("""COMPUTED_VALUE"""),"DOMFAING-BRUYERES Ent.MJC")</f>
        <v>DOMFAING-BRUYERES Ent.MJC</v>
      </c>
      <c r="G510" s="50" t="str">
        <f ca="1">IFERROR(__xludf.DUMMYFUNCTION("""COMPUTED_VALUE"""),"CD88")</f>
        <v>CD88</v>
      </c>
      <c r="H510" s="50" t="str">
        <f ca="1">IFERROR(__xludf.DUMMYFUNCTION("""COMPUTED_VALUE"""),"inactivité 1ère année")</f>
        <v>inactivité 1ère année</v>
      </c>
    </row>
    <row r="511" spans="1:8" ht="12.75">
      <c r="A511" s="46">
        <f ca="1">IFERROR(__xludf.DUMMYFUNCTION("""COMPUTED_VALUE"""),499)</f>
        <v>499</v>
      </c>
      <c r="B511" s="65" t="str">
        <f ca="1">IFERROR(__xludf.DUMMYFUNCTION("""COMPUTED_VALUE"""),"0814498")</f>
        <v>0814498</v>
      </c>
      <c r="C511" s="48" t="str">
        <f ca="1">IFERROR(__xludf.DUMMYFUNCTION("""COMPUTED_VALUE"""),"ROBERT")</f>
        <v>ROBERT</v>
      </c>
      <c r="D511" s="48" t="str">
        <f ca="1">IFERROR(__xludf.DUMMYFUNCTION("""COMPUTED_VALUE"""),"Francine")</f>
        <v>Francine</v>
      </c>
      <c r="E511" s="49" t="str">
        <f ca="1">IFERROR(__xludf.DUMMYFUNCTION("""COMPUTED_VALUE"""),"06080035")</f>
        <v>06080035</v>
      </c>
      <c r="F511" s="48" t="str">
        <f ca="1">IFERROR(__xludf.DUMMYFUNCTION("""COMPUTED_VALUE"""),"CHARLEVILLE MEZIERES ARDENNES TT")</f>
        <v>CHARLEVILLE MEZIERES ARDENNES TT</v>
      </c>
      <c r="G511" s="50" t="str">
        <f ca="1">IFERROR(__xludf.DUMMYFUNCTION("""COMPUTED_VALUE"""),"CD08")</f>
        <v>CD08</v>
      </c>
      <c r="H511" s="50" t="str">
        <f ca="1">IFERROR(__xludf.DUMMYFUNCTION("""COMPUTED_VALUE"""),"actif")</f>
        <v>actif</v>
      </c>
    </row>
    <row r="512" spans="1:8" ht="12.75">
      <c r="A512" s="46">
        <f ca="1">IFERROR(__xludf.DUMMYFUNCTION("""COMPUTED_VALUE"""),500)</f>
        <v>500</v>
      </c>
      <c r="B512" s="65" t="str">
        <f ca="1">IFERROR(__xludf.DUMMYFUNCTION("""COMPUTED_VALUE"""),"105680")</f>
        <v>105680</v>
      </c>
      <c r="C512" s="48" t="str">
        <f ca="1">IFERROR(__xludf.DUMMYFUNCTION("""COMPUTED_VALUE"""),"ROBLET")</f>
        <v>ROBLET</v>
      </c>
      <c r="D512" s="48" t="str">
        <f ca="1">IFERROR(__xludf.DUMMYFUNCTION("""COMPUTED_VALUE"""),"Auguste")</f>
        <v>Auguste</v>
      </c>
      <c r="E512" s="49" t="str">
        <f ca="1">IFERROR(__xludf.DUMMYFUNCTION("""COMPUTED_VALUE"""),"06100005")</f>
        <v>06100005</v>
      </c>
      <c r="F512" s="48" t="str">
        <f ca="1">IFERROR(__xludf.DUMMYFUNCTION("""COMPUTED_VALUE"""),"ROMILLY SPORTS 10")</f>
        <v>ROMILLY SPORTS 10</v>
      </c>
      <c r="G512" s="50" t="str">
        <f ca="1">IFERROR(__xludf.DUMMYFUNCTION("""COMPUTED_VALUE"""),"CD10")</f>
        <v>CD10</v>
      </c>
      <c r="H512" s="50" t="str">
        <f ca="1">IFERROR(__xludf.DUMMYFUNCTION("""COMPUTED_VALUE"""),"inactivité 1ère année")</f>
        <v>inactivité 1ère année</v>
      </c>
    </row>
    <row r="513" spans="1:8" ht="12.75">
      <c r="A513" s="46">
        <f ca="1">IFERROR(__xludf.DUMMYFUNCTION("""COMPUTED_VALUE"""),501)</f>
        <v>501</v>
      </c>
      <c r="B513" s="65" t="str">
        <f ca="1">IFERROR(__xludf.DUMMYFUNCTION("""COMPUTED_VALUE"""),"6725671")</f>
        <v>6725671</v>
      </c>
      <c r="C513" s="48" t="str">
        <f ca="1">IFERROR(__xludf.DUMMYFUNCTION("""COMPUTED_VALUE"""),"ROCHEL")</f>
        <v>ROCHEL</v>
      </c>
      <c r="D513" s="48" t="str">
        <f ca="1">IFERROR(__xludf.DUMMYFUNCTION("""COMPUTED_VALUE"""),"Bertrand")</f>
        <v>Bertrand</v>
      </c>
      <c r="E513" s="49" t="str">
        <f ca="1">IFERROR(__xludf.DUMMYFUNCTION("""COMPUTED_VALUE"""),"06670043")</f>
        <v>06670043</v>
      </c>
      <c r="F513" s="48" t="str">
        <f ca="1">IFERROR(__xludf.DUMMYFUNCTION("""COMPUTED_VALUE"""),"BRUMATH UNITAS Tennis de Table")</f>
        <v>BRUMATH UNITAS Tennis de Table</v>
      </c>
      <c r="G513" s="50" t="str">
        <f ca="1">IFERROR(__xludf.DUMMYFUNCTION("""COMPUTED_VALUE"""),"CD67")</f>
        <v>CD67</v>
      </c>
      <c r="H513" s="50" t="str">
        <f ca="1">IFERROR(__xludf.DUMMYFUNCTION("""COMPUTED_VALUE"""),"inactivité 1ère année")</f>
        <v>inactivité 1ère année</v>
      </c>
    </row>
    <row r="514" spans="1:8" ht="12.75">
      <c r="A514" s="46">
        <f ca="1">IFERROR(__xludf.DUMMYFUNCTION("""COMPUTED_VALUE"""),502)</f>
        <v>502</v>
      </c>
      <c r="B514" s="65" t="str">
        <f ca="1">IFERROR(__xludf.DUMMYFUNCTION("""COMPUTED_VALUE"""),"523276")</f>
        <v>523276</v>
      </c>
      <c r="C514" s="48" t="str">
        <f ca="1">IFERROR(__xludf.DUMMYFUNCTION("""COMPUTED_VALUE"""),"RODRIGUEZ")</f>
        <v>RODRIGUEZ</v>
      </c>
      <c r="D514" s="48" t="str">
        <f ca="1">IFERROR(__xludf.DUMMYFUNCTION("""COMPUTED_VALUE"""),"Jimmy")</f>
        <v>Jimmy</v>
      </c>
      <c r="E514" s="49" t="str">
        <f ca="1">IFERROR(__xludf.DUMMYFUNCTION("""COMPUTED_VALUE"""),"06520057")</f>
        <v>06520057</v>
      </c>
      <c r="F514" s="48" t="str">
        <f ca="1">IFERROR(__xludf.DUMMYFUNCTION("""COMPUTED_VALUE"""),"Tennis de Table Breuvannais")</f>
        <v>Tennis de Table Breuvannais</v>
      </c>
      <c r="G514" s="50" t="str">
        <f ca="1">IFERROR(__xludf.DUMMYFUNCTION("""COMPUTED_VALUE"""),"CD52")</f>
        <v>CD52</v>
      </c>
      <c r="H514" s="50" t="str">
        <f ca="1">IFERROR(__xludf.DUMMYFUNCTION("""COMPUTED_VALUE"""),"actif")</f>
        <v>actif</v>
      </c>
    </row>
    <row r="515" spans="1:8" ht="12.75">
      <c r="A515" s="46">
        <f ca="1">IFERROR(__xludf.DUMMYFUNCTION("""COMPUTED_VALUE"""),503)</f>
        <v>503</v>
      </c>
      <c r="B515" s="65" t="str">
        <f ca="1">IFERROR(__xludf.DUMMYFUNCTION("""COMPUTED_VALUE"""),"088546")</f>
        <v>088546</v>
      </c>
      <c r="C515" s="48" t="str">
        <f ca="1">IFERROR(__xludf.DUMMYFUNCTION("""COMPUTED_VALUE"""),"ROGER")</f>
        <v>ROGER</v>
      </c>
      <c r="D515" s="48" t="str">
        <f ca="1">IFERROR(__xludf.DUMMYFUNCTION("""COMPUTED_VALUE"""),"Clement")</f>
        <v>Clement</v>
      </c>
      <c r="E515" s="49" t="str">
        <f ca="1">IFERROR(__xludf.DUMMYFUNCTION("""COMPUTED_VALUE"""),"06080074")</f>
        <v>06080074</v>
      </c>
      <c r="F515" s="48" t="str">
        <f ca="1">IFERROR(__xludf.DUMMYFUNCTION("""COMPUTED_VALUE"""),"NOUZONVILLE CTT")</f>
        <v>NOUZONVILLE CTT</v>
      </c>
      <c r="G515" s="50" t="str">
        <f ca="1">IFERROR(__xludf.DUMMYFUNCTION("""COMPUTED_VALUE"""),"CD08")</f>
        <v>CD08</v>
      </c>
      <c r="H515" s="50" t="str">
        <f ca="1">IFERROR(__xludf.DUMMYFUNCTION("""COMPUTED_VALUE"""),"inactivité 3ème année")</f>
        <v>inactivité 3ème année</v>
      </c>
    </row>
    <row r="516" spans="1:8" ht="12.75">
      <c r="A516" s="46">
        <f ca="1">IFERROR(__xludf.DUMMYFUNCTION("""COMPUTED_VALUE"""),504)</f>
        <v>504</v>
      </c>
      <c r="B516" s="65" t="str">
        <f ca="1">IFERROR(__xludf.DUMMYFUNCTION("""COMPUTED_VALUE"""),"609649")</f>
        <v>609649</v>
      </c>
      <c r="C516" s="48" t="str">
        <f ca="1">IFERROR(__xludf.DUMMYFUNCTION("""COMPUTED_VALUE"""),"ROISNE")</f>
        <v>ROISNE</v>
      </c>
      <c r="D516" s="48" t="str">
        <f ca="1">IFERROR(__xludf.DUMMYFUNCTION("""COMPUTED_VALUE"""),"Vincent")</f>
        <v>Vincent</v>
      </c>
      <c r="E516" s="49" t="str">
        <f ca="1">IFERROR(__xludf.DUMMYFUNCTION("""COMPUTED_VALUE"""),"06570024")</f>
        <v>06570024</v>
      </c>
      <c r="F516" s="48" t="str">
        <f ca="1">IFERROR(__xludf.DUMMYFUNCTION("""COMPUTED_VALUE"""),"THIONVILLE Tennis de Table")</f>
        <v>THIONVILLE Tennis de Table</v>
      </c>
      <c r="G516" s="50" t="str">
        <f ca="1">IFERROR(__xludf.DUMMYFUNCTION("""COMPUTED_VALUE"""),"CD57")</f>
        <v>CD57</v>
      </c>
      <c r="H516" s="50" t="str">
        <f ca="1">IFERROR(__xludf.DUMMYFUNCTION("""COMPUTED_VALUE"""),"actif")</f>
        <v>actif</v>
      </c>
    </row>
    <row r="517" spans="1:8" ht="12.75">
      <c r="A517" s="46">
        <f ca="1">IFERROR(__xludf.DUMMYFUNCTION("""COMPUTED_VALUE"""),505)</f>
        <v>505</v>
      </c>
      <c r="B517" s="65" t="str">
        <f ca="1">IFERROR(__xludf.DUMMYFUNCTION("""COMPUTED_VALUE"""),"577169")</f>
        <v>577169</v>
      </c>
      <c r="C517" s="48" t="str">
        <f ca="1">IFERROR(__xludf.DUMMYFUNCTION("""COMPUTED_VALUE"""),"ROLLIN")</f>
        <v>ROLLIN</v>
      </c>
      <c r="D517" s="48" t="str">
        <f ca="1">IFERROR(__xludf.DUMMYFUNCTION("""COMPUTED_VALUE"""),"Tom")</f>
        <v>Tom</v>
      </c>
      <c r="E517" s="49" t="str">
        <f ca="1">IFERROR(__xludf.DUMMYFUNCTION("""COMPUTED_VALUE"""),"06540192")</f>
        <v>06540192</v>
      </c>
      <c r="F517" s="48" t="str">
        <f ca="1">IFERROR(__xludf.DUMMYFUNCTION("""COMPUTED_VALUE"""),"LONGLAVILLE TT")</f>
        <v>LONGLAVILLE TT</v>
      </c>
      <c r="G517" s="50" t="str">
        <f ca="1">IFERROR(__xludf.DUMMYFUNCTION("""COMPUTED_VALUE"""),"CD54")</f>
        <v>CD54</v>
      </c>
      <c r="H517" s="50" t="str">
        <f ca="1">IFERROR(__xludf.DUMMYFUNCTION("""COMPUTED_VALUE"""),"inactivité 3ème année")</f>
        <v>inactivité 3ème année</v>
      </c>
    </row>
    <row r="518" spans="1:8" ht="12.75">
      <c r="A518" s="46">
        <f ca="1">IFERROR(__xludf.DUMMYFUNCTION("""COMPUTED_VALUE"""),506)</f>
        <v>506</v>
      </c>
      <c r="B518" s="65" t="str">
        <f ca="1">IFERROR(__xludf.DUMMYFUNCTION("""COMPUTED_VALUE"""),"5725134")</f>
        <v>5725134</v>
      </c>
      <c r="C518" s="48" t="str">
        <f ca="1">IFERROR(__xludf.DUMMYFUNCTION("""COMPUTED_VALUE"""),"RONDU")</f>
        <v>RONDU</v>
      </c>
      <c r="D518" s="48" t="str">
        <f ca="1">IFERROR(__xludf.DUMMYFUNCTION("""COMPUTED_VALUE"""),"Arnaud")</f>
        <v>Arnaud</v>
      </c>
      <c r="E518" s="49" t="str">
        <f ca="1">IFERROR(__xludf.DUMMYFUNCTION("""COMPUTED_VALUE"""),"06570024")</f>
        <v>06570024</v>
      </c>
      <c r="F518" s="48" t="str">
        <f ca="1">IFERROR(__xludf.DUMMYFUNCTION("""COMPUTED_VALUE"""),"THIONVILLE Tennis de Table")</f>
        <v>THIONVILLE Tennis de Table</v>
      </c>
      <c r="G518" s="50" t="str">
        <f ca="1">IFERROR(__xludf.DUMMYFUNCTION("""COMPUTED_VALUE"""),"CD57")</f>
        <v>CD57</v>
      </c>
      <c r="H518" s="50" t="str">
        <f ca="1">IFERROR(__xludf.DUMMYFUNCTION("""COMPUTED_VALUE"""),"inactivité 2ème année")</f>
        <v>inactivité 2ème année</v>
      </c>
    </row>
    <row r="519" spans="1:8" ht="12.75">
      <c r="A519" s="46">
        <f ca="1">IFERROR(__xludf.DUMMYFUNCTION("""COMPUTED_VALUE"""),507)</f>
        <v>507</v>
      </c>
      <c r="B519" s="65" t="str">
        <f ca="1">IFERROR(__xludf.DUMMYFUNCTION("""COMPUTED_VALUE"""),"5427795")</f>
        <v>5427795</v>
      </c>
      <c r="C519" s="48" t="str">
        <f ca="1">IFERROR(__xludf.DUMMYFUNCTION("""COMPUTED_VALUE"""),"ROSENBERGER")</f>
        <v>ROSENBERGER</v>
      </c>
      <c r="D519" s="48" t="str">
        <f ca="1">IFERROR(__xludf.DUMMYFUNCTION("""COMPUTED_VALUE"""),"Thibault")</f>
        <v>Thibault</v>
      </c>
      <c r="E519" s="49" t="str">
        <f ca="1">IFERROR(__xludf.DUMMYFUNCTION("""COMPUTED_VALUE"""),"06520003")</f>
        <v>06520003</v>
      </c>
      <c r="F519" s="48" t="str">
        <f ca="1">IFERROR(__xludf.DUMMYFUNCTION("""COMPUTED_VALUE"""),"EURVILLE BIENVILLE Jeunes")</f>
        <v>EURVILLE BIENVILLE Jeunes</v>
      </c>
      <c r="G519" s="50" t="str">
        <f ca="1">IFERROR(__xludf.DUMMYFUNCTION("""COMPUTED_VALUE"""),"CD52")</f>
        <v>CD52</v>
      </c>
      <c r="H519" s="50" t="str">
        <f ca="1">IFERROR(__xludf.DUMMYFUNCTION("""COMPUTED_VALUE"""),"actif")</f>
        <v>actif</v>
      </c>
    </row>
    <row r="520" spans="1:8" ht="12.75">
      <c r="A520" s="46">
        <f ca="1">IFERROR(__xludf.DUMMYFUNCTION("""COMPUTED_VALUE"""),508)</f>
        <v>508</v>
      </c>
      <c r="B520" s="65" t="str">
        <f ca="1">IFERROR(__xludf.DUMMYFUNCTION("""COMPUTED_VALUE"""),"52294")</f>
        <v>52294</v>
      </c>
      <c r="C520" s="48" t="str">
        <f ca="1">IFERROR(__xludf.DUMMYFUNCTION("""COMPUTED_VALUE"""),"ROUSSEL")</f>
        <v>ROUSSEL</v>
      </c>
      <c r="D520" s="48" t="str">
        <f ca="1">IFERROR(__xludf.DUMMYFUNCTION("""COMPUTED_VALUE"""),"Bruno")</f>
        <v>Bruno</v>
      </c>
      <c r="E520" s="49" t="str">
        <f ca="1">IFERROR(__xludf.DUMMYFUNCTION("""COMPUTED_VALUE"""),"06520054")</f>
        <v>06520054</v>
      </c>
      <c r="F520" s="48" t="str">
        <f ca="1">IFERROR(__xludf.DUMMYFUNCTION("""COMPUTED_VALUE"""),"NOGENT ASNTT")</f>
        <v>NOGENT ASNTT</v>
      </c>
      <c r="G520" s="50" t="str">
        <f ca="1">IFERROR(__xludf.DUMMYFUNCTION("""COMPUTED_VALUE"""),"CD52")</f>
        <v>CD52</v>
      </c>
      <c r="H520" s="50" t="str">
        <f ca="1">IFERROR(__xludf.DUMMYFUNCTION("""COMPUTED_VALUE"""),"actif")</f>
        <v>actif</v>
      </c>
    </row>
    <row r="521" spans="1:8" ht="12.75">
      <c r="A521" s="46">
        <f ca="1">IFERROR(__xludf.DUMMYFUNCTION("""COMPUTED_VALUE"""),509)</f>
        <v>509</v>
      </c>
      <c r="B521" s="65" t="str">
        <f ca="1">IFERROR(__xludf.DUMMYFUNCTION("""COMPUTED_VALUE"""),"084733")</f>
        <v>084733</v>
      </c>
      <c r="C521" s="48" t="str">
        <f ca="1">IFERROR(__xludf.DUMMYFUNCTION("""COMPUTED_VALUE"""),"ROUSSELOT")</f>
        <v>ROUSSELOT</v>
      </c>
      <c r="D521" s="48" t="str">
        <f ca="1">IFERROR(__xludf.DUMMYFUNCTION("""COMPUTED_VALUE"""),"Alain")</f>
        <v>Alain</v>
      </c>
      <c r="E521" s="49" t="str">
        <f ca="1">IFERROR(__xludf.DUMMYFUNCTION("""COMPUTED_VALUE"""),"06080044")</f>
        <v>06080044</v>
      </c>
      <c r="F521" s="48" t="str">
        <f ca="1">IFERROR(__xludf.DUMMYFUNCTION("""COMPUTED_VALUE"""),"CTT VOUZIERS ")</f>
        <v xml:space="preserve">CTT VOUZIERS </v>
      </c>
      <c r="G521" s="50" t="str">
        <f ca="1">IFERROR(__xludf.DUMMYFUNCTION("""COMPUTED_VALUE"""),"CD08")</f>
        <v>CD08</v>
      </c>
      <c r="H521" s="50" t="str">
        <f ca="1">IFERROR(__xludf.DUMMYFUNCTION("""COMPUTED_VALUE"""),"inactivité 2ème année")</f>
        <v>inactivité 2ème année</v>
      </c>
    </row>
    <row r="522" spans="1:8" ht="12.75">
      <c r="A522" s="46">
        <f ca="1">IFERROR(__xludf.DUMMYFUNCTION("""COMPUTED_VALUE"""),510)</f>
        <v>510</v>
      </c>
      <c r="B522" s="65" t="str">
        <f ca="1">IFERROR(__xludf.DUMMYFUNCTION("""COMPUTED_VALUE"""),"5415194")</f>
        <v>5415194</v>
      </c>
      <c r="C522" s="48" t="str">
        <f ca="1">IFERROR(__xludf.DUMMYFUNCTION("""COMPUTED_VALUE"""),"RUBIN")</f>
        <v>RUBIN</v>
      </c>
      <c r="D522" s="48" t="str">
        <f ca="1">IFERROR(__xludf.DUMMYFUNCTION("""COMPUTED_VALUE"""),"Thierry")</f>
        <v>Thierry</v>
      </c>
      <c r="E522" s="49" t="str">
        <f ca="1">IFERROR(__xludf.DUMMYFUNCTION("""COMPUTED_VALUE"""),"06540184")</f>
        <v>06540184</v>
      </c>
      <c r="F522" s="48" t="str">
        <f ca="1">IFERROR(__xludf.DUMMYFUNCTION("""COMPUTED_VALUE"""),"BATILLY Tennis de Table")</f>
        <v>BATILLY Tennis de Table</v>
      </c>
      <c r="G522" s="50" t="str">
        <f ca="1">IFERROR(__xludf.DUMMYFUNCTION("""COMPUTED_VALUE"""),"CD54")</f>
        <v>CD54</v>
      </c>
      <c r="H522" s="50" t="str">
        <f ca="1">IFERROR(__xludf.DUMMYFUNCTION("""COMPUTED_VALUE"""),"inactivité 2ème année")</f>
        <v>inactivité 2ème année</v>
      </c>
    </row>
    <row r="523" spans="1:8" ht="12.75">
      <c r="A523" s="46">
        <f ca="1">IFERROR(__xludf.DUMMYFUNCTION("""COMPUTED_VALUE"""),511)</f>
        <v>511</v>
      </c>
      <c r="B523" s="65" t="str">
        <f ca="1">IFERROR(__xludf.DUMMYFUNCTION("""COMPUTED_VALUE"""),"6711916")</f>
        <v>6711916</v>
      </c>
      <c r="C523" s="48" t="str">
        <f ca="1">IFERROR(__xludf.DUMMYFUNCTION("""COMPUTED_VALUE"""),"RUCK")</f>
        <v>RUCK</v>
      </c>
      <c r="D523" s="48" t="str">
        <f ca="1">IFERROR(__xludf.DUMMYFUNCTION("""COMPUTED_VALUE"""),"Vincent")</f>
        <v>Vincent</v>
      </c>
      <c r="E523" s="49" t="str">
        <f ca="1">IFERROR(__xludf.DUMMYFUNCTION("""COMPUTED_VALUE"""),"06670203")</f>
        <v>06670203</v>
      </c>
      <c r="F523" s="48" t="str">
        <f ca="1">IFERROR(__xludf.DUMMYFUNCTION("""COMPUTED_VALUE"""),"BETSCHDORF TT")</f>
        <v>BETSCHDORF TT</v>
      </c>
      <c r="G523" s="50" t="str">
        <f ca="1">IFERROR(__xludf.DUMMYFUNCTION("""COMPUTED_VALUE"""),"CD67")</f>
        <v>CD67</v>
      </c>
      <c r="H523" s="50" t="str">
        <f ca="1">IFERROR(__xludf.DUMMYFUNCTION("""COMPUTED_VALUE"""),"inactivité 1ère année")</f>
        <v>inactivité 1ère année</v>
      </c>
    </row>
    <row r="524" spans="1:8" ht="12.75">
      <c r="A524" s="46">
        <f ca="1">IFERROR(__xludf.DUMMYFUNCTION("""COMPUTED_VALUE"""),512)</f>
        <v>512</v>
      </c>
      <c r="B524" s="65" t="str">
        <f ca="1">IFERROR(__xludf.DUMMYFUNCTION("""COMPUTED_VALUE"""),"572169")</f>
        <v>572169</v>
      </c>
      <c r="C524" s="48" t="str">
        <f ca="1">IFERROR(__xludf.DUMMYFUNCTION("""COMPUTED_VALUE"""),"RUPPEL")</f>
        <v>RUPPEL</v>
      </c>
      <c r="D524" s="48" t="str">
        <f ca="1">IFERROR(__xludf.DUMMYFUNCTION("""COMPUTED_VALUE"""),"Fabrice")</f>
        <v>Fabrice</v>
      </c>
      <c r="E524" s="49" t="str">
        <f ca="1">IFERROR(__xludf.DUMMYFUNCTION("""COMPUTED_VALUE"""),"06570107")</f>
        <v>06570107</v>
      </c>
      <c r="F524" s="48" t="str">
        <f ca="1">IFERROR(__xludf.DUMMYFUNCTION("""COMPUTED_VALUE"""),"MAIZIÈRES-LÈS-METZ T.T.")</f>
        <v>MAIZIÈRES-LÈS-METZ T.T.</v>
      </c>
      <c r="G524" s="50" t="str">
        <f ca="1">IFERROR(__xludf.DUMMYFUNCTION("""COMPUTED_VALUE"""),"CD57")</f>
        <v>CD57</v>
      </c>
      <c r="H524" s="50" t="str">
        <f ca="1">IFERROR(__xludf.DUMMYFUNCTION("""COMPUTED_VALUE"""),"inactivité 3ème année")</f>
        <v>inactivité 3ème année</v>
      </c>
    </row>
    <row r="525" spans="1:8" ht="12.75">
      <c r="A525" s="46">
        <f ca="1">IFERROR(__xludf.DUMMYFUNCTION("""COMPUTED_VALUE"""),513)</f>
        <v>513</v>
      </c>
      <c r="B525" s="65" t="str">
        <f ca="1">IFERROR(__xludf.DUMMYFUNCTION("""COMPUTED_VALUE"""),"6710513")</f>
        <v>6710513</v>
      </c>
      <c r="C525" s="48" t="str">
        <f ca="1">IFERROR(__xludf.DUMMYFUNCTION("""COMPUTED_VALUE"""),"SAARBACH")</f>
        <v>SAARBACH</v>
      </c>
      <c r="D525" s="48" t="str">
        <f ca="1">IFERROR(__xludf.DUMMYFUNCTION("""COMPUTED_VALUE"""),"Bernard")</f>
        <v>Bernard</v>
      </c>
      <c r="E525" s="49" t="str">
        <f ca="1">IFERROR(__xludf.DUMMYFUNCTION("""COMPUTED_VALUE"""),"06670260")</f>
        <v>06670260</v>
      </c>
      <c r="F525" s="48" t="str">
        <f ca="1">IFERROR(__xludf.DUMMYFUNCTION("""COMPUTED_VALUE"""),"SARRE-UNION CTT")</f>
        <v>SARRE-UNION CTT</v>
      </c>
      <c r="G525" s="50" t="str">
        <f ca="1">IFERROR(__xludf.DUMMYFUNCTION("""COMPUTED_VALUE"""),"CD67")</f>
        <v>CD67</v>
      </c>
      <c r="H525" s="50" t="str">
        <f ca="1">IFERROR(__xludf.DUMMYFUNCTION("""COMPUTED_VALUE"""),"inactivité 1ère année")</f>
        <v>inactivité 1ère année</v>
      </c>
    </row>
    <row r="526" spans="1:8" ht="12.75">
      <c r="A526" s="46">
        <f ca="1">IFERROR(__xludf.DUMMYFUNCTION("""COMPUTED_VALUE"""),514)</f>
        <v>514</v>
      </c>
      <c r="B526" s="65" t="str">
        <f ca="1">IFERROR(__xludf.DUMMYFUNCTION("""COMPUTED_VALUE"""),"577579")</f>
        <v>577579</v>
      </c>
      <c r="C526" s="48" t="str">
        <f ca="1">IFERROR(__xludf.DUMMYFUNCTION("""COMPUTED_VALUE"""),"SABE")</f>
        <v>SABE</v>
      </c>
      <c r="D526" s="48" t="str">
        <f ca="1">IFERROR(__xludf.DUMMYFUNCTION("""COMPUTED_VALUE"""),"Alain")</f>
        <v>Alain</v>
      </c>
      <c r="E526" s="49" t="str">
        <f ca="1">IFERROR(__xludf.DUMMYFUNCTION("""COMPUTED_VALUE"""),"06570075")</f>
        <v>06570075</v>
      </c>
      <c r="F526" s="48" t="str">
        <f ca="1">IFERROR(__xludf.DUMMYFUNCTION("""COMPUTED_VALUE"""),"ILLANGE USTT")</f>
        <v>ILLANGE USTT</v>
      </c>
      <c r="G526" s="50" t="str">
        <f ca="1">IFERROR(__xludf.DUMMYFUNCTION("""COMPUTED_VALUE"""),"CD57")</f>
        <v>CD57</v>
      </c>
      <c r="H526" s="50" t="str">
        <f ca="1">IFERROR(__xludf.DUMMYFUNCTION("""COMPUTED_VALUE"""),"inactivité 1ère année")</f>
        <v>inactivité 1ère année</v>
      </c>
    </row>
    <row r="527" spans="1:8" ht="12.75">
      <c r="A527" s="46">
        <f ca="1">IFERROR(__xludf.DUMMYFUNCTION("""COMPUTED_VALUE"""),515)</f>
        <v>515</v>
      </c>
      <c r="B527" s="65" t="str">
        <f ca="1">IFERROR(__xludf.DUMMYFUNCTION("""COMPUTED_VALUE"""),"3114481")</f>
        <v>3114481</v>
      </c>
      <c r="C527" s="48" t="str">
        <f ca="1">IFERROR(__xludf.DUMMYFUNCTION("""COMPUTED_VALUE"""),"SACQUET")</f>
        <v>SACQUET</v>
      </c>
      <c r="D527" s="48" t="str">
        <f ca="1">IFERROR(__xludf.DUMMYFUNCTION("""COMPUTED_VALUE"""),"Thomas")</f>
        <v>Thomas</v>
      </c>
      <c r="E527" s="49" t="str">
        <f ca="1">IFERROR(__xludf.DUMMYFUNCTION("""COMPUTED_VALUE"""),"06670014")</f>
        <v>06670014</v>
      </c>
      <c r="F527" s="48" t="str">
        <f ca="1">IFERROR(__xludf.DUMMYFUNCTION("""COMPUTED_VALUE"""),"ILLKIRCH GRAFFENSTADEN AP")</f>
        <v>ILLKIRCH GRAFFENSTADEN AP</v>
      </c>
      <c r="G527" s="50" t="str">
        <f ca="1">IFERROR(__xludf.DUMMYFUNCTION("""COMPUTED_VALUE"""),"CD67")</f>
        <v>CD67</v>
      </c>
      <c r="H527" s="50" t="str">
        <f ca="1">IFERROR(__xludf.DUMMYFUNCTION("""COMPUTED_VALUE"""),"actif")</f>
        <v>actif</v>
      </c>
    </row>
    <row r="528" spans="1:8" ht="12.75">
      <c r="A528" s="46">
        <f ca="1">IFERROR(__xludf.DUMMYFUNCTION("""COMPUTED_VALUE"""),516)</f>
        <v>516</v>
      </c>
      <c r="B528" s="65" t="str">
        <f ca="1">IFERROR(__xludf.DUMMYFUNCTION("""COMPUTED_VALUE"""),"885898")</f>
        <v>885898</v>
      </c>
      <c r="C528" s="48" t="str">
        <f ca="1">IFERROR(__xludf.DUMMYFUNCTION("""COMPUTED_VALUE"""),"SAINT DIZIER")</f>
        <v>SAINT DIZIER</v>
      </c>
      <c r="D528" s="48" t="str">
        <f ca="1">IFERROR(__xludf.DUMMYFUNCTION("""COMPUTED_VALUE"""),"Marie Helene")</f>
        <v>Marie Helene</v>
      </c>
      <c r="E528" s="49" t="str">
        <f ca="1">IFERROR(__xludf.DUMMYFUNCTION("""COMPUTED_VALUE"""),"06880022")</f>
        <v>06880022</v>
      </c>
      <c r="F528" s="48" t="str">
        <f ca="1">IFERROR(__xludf.DUMMYFUNCTION("""COMPUTED_VALUE"""),"VITTEL SAINT REMY TT")</f>
        <v>VITTEL SAINT REMY TT</v>
      </c>
      <c r="G528" s="50" t="str">
        <f ca="1">IFERROR(__xludf.DUMMYFUNCTION("""COMPUTED_VALUE"""),"CD88")</f>
        <v>CD88</v>
      </c>
      <c r="H528" s="50" t="str">
        <f ca="1">IFERROR(__xludf.DUMMYFUNCTION("""COMPUTED_VALUE"""),"inactivité 1ère année")</f>
        <v>inactivité 1ère année</v>
      </c>
    </row>
    <row r="529" spans="1:8" ht="12.75">
      <c r="A529" s="46">
        <f ca="1">IFERROR(__xludf.DUMMYFUNCTION("""COMPUTED_VALUE"""),517)</f>
        <v>517</v>
      </c>
      <c r="B529" s="65" t="str">
        <f ca="1">IFERROR(__xludf.DUMMYFUNCTION("""COMPUTED_VALUE"""),"517687")</f>
        <v>517687</v>
      </c>
      <c r="C529" s="48" t="str">
        <f ca="1">IFERROR(__xludf.DUMMYFUNCTION("""COMPUTED_VALUE"""),"SALOMON")</f>
        <v>SALOMON</v>
      </c>
      <c r="D529" s="48" t="str">
        <f ca="1">IFERROR(__xludf.DUMMYFUNCTION("""COMPUTED_VALUE"""),"Thierry")</f>
        <v>Thierry</v>
      </c>
      <c r="E529" s="49" t="str">
        <f ca="1">IFERROR(__xludf.DUMMYFUNCTION("""COMPUTED_VALUE"""),"06510001")</f>
        <v>06510001</v>
      </c>
      <c r="F529" s="48" t="str">
        <f ca="1">IFERROR(__xludf.DUMMYFUNCTION("""COMPUTED_VALUE"""),"REIMS OLYMPIQUE TT")</f>
        <v>REIMS OLYMPIQUE TT</v>
      </c>
      <c r="G529" s="50" t="str">
        <f ca="1">IFERROR(__xludf.DUMMYFUNCTION("""COMPUTED_VALUE"""),"CD51")</f>
        <v>CD51</v>
      </c>
      <c r="H529" s="50" t="str">
        <f ca="1">IFERROR(__xludf.DUMMYFUNCTION("""COMPUTED_VALUE"""),"actif")</f>
        <v>actif</v>
      </c>
    </row>
    <row r="530" spans="1:8" ht="12.75">
      <c r="A530" s="46">
        <f ca="1">IFERROR(__xludf.DUMMYFUNCTION("""COMPUTED_VALUE"""),518)</f>
        <v>518</v>
      </c>
      <c r="B530" s="65" t="str">
        <f ca="1">IFERROR(__xludf.DUMMYFUNCTION("""COMPUTED_VALUE"""),"885757")</f>
        <v>885757</v>
      </c>
      <c r="C530" s="48" t="str">
        <f ca="1">IFERROR(__xludf.DUMMYFUNCTION("""COMPUTED_VALUE"""),"SALQUEBRE")</f>
        <v>SALQUEBRE</v>
      </c>
      <c r="D530" s="48" t="str">
        <f ca="1">IFERROR(__xludf.DUMMYFUNCTION("""COMPUTED_VALUE"""),"Yann")</f>
        <v>Yann</v>
      </c>
      <c r="E530" s="49" t="str">
        <f ca="1">IFERROR(__xludf.DUMMYFUNCTION("""COMPUTED_VALUE"""),"06880064")</f>
        <v>06880064</v>
      </c>
      <c r="F530" s="48" t="str">
        <f ca="1">IFERROR(__xludf.DUMMYFUNCTION("""COMPUTED_VALUE"""),"TT des Ballons des Hautes Vosges")</f>
        <v>TT des Ballons des Hautes Vosges</v>
      </c>
      <c r="G530" s="50" t="str">
        <f ca="1">IFERROR(__xludf.DUMMYFUNCTION("""COMPUTED_VALUE"""),"CD88")</f>
        <v>CD88</v>
      </c>
      <c r="H530" s="50" t="str">
        <f ca="1">IFERROR(__xludf.DUMMYFUNCTION("""COMPUTED_VALUE"""),"inactivité 3ème année")</f>
        <v>inactivité 3ème année</v>
      </c>
    </row>
    <row r="531" spans="1:8" ht="12.75">
      <c r="A531" s="46">
        <f ca="1">IFERROR(__xludf.DUMMYFUNCTION("""COMPUTED_VALUE"""),519)</f>
        <v>519</v>
      </c>
      <c r="B531" s="65" t="str">
        <f ca="1">IFERROR(__xludf.DUMMYFUNCTION("""COMPUTED_VALUE"""),"687025")</f>
        <v>687025</v>
      </c>
      <c r="C531" s="48" t="str">
        <f ca="1">IFERROR(__xludf.DUMMYFUNCTION("""COMPUTED_VALUE"""),"SANLAVILLE")</f>
        <v>SANLAVILLE</v>
      </c>
      <c r="D531" s="48" t="str">
        <f ca="1">IFERROR(__xludf.DUMMYFUNCTION("""COMPUTED_VALUE"""),"Joseph")</f>
        <v>Joseph</v>
      </c>
      <c r="E531" s="49" t="str">
        <f ca="1">IFERROR(__xludf.DUMMYFUNCTION("""COMPUTED_VALUE"""),"06680102")</f>
        <v>06680102</v>
      </c>
      <c r="F531" s="48" t="str">
        <f ca="1">IFERROR(__xludf.DUMMYFUNCTION("""COMPUTED_VALUE"""),"HUNINGUE TTC")</f>
        <v>HUNINGUE TTC</v>
      </c>
      <c r="G531" s="50" t="str">
        <f ca="1">IFERROR(__xludf.DUMMYFUNCTION("""COMPUTED_VALUE"""),"CD68")</f>
        <v>CD68</v>
      </c>
      <c r="H531" s="50" t="str">
        <f ca="1">IFERROR(__xludf.DUMMYFUNCTION("""COMPUTED_VALUE"""),"actif")</f>
        <v>actif</v>
      </c>
    </row>
    <row r="532" spans="1:8" ht="12.75">
      <c r="A532" s="46">
        <f ca="1">IFERROR(__xludf.DUMMYFUNCTION("""COMPUTED_VALUE"""),520)</f>
        <v>520</v>
      </c>
      <c r="B532" s="65" t="str">
        <f ca="1">IFERROR(__xludf.DUMMYFUNCTION("""COMPUTED_VALUE"""),"6725638")</f>
        <v>6725638</v>
      </c>
      <c r="C532" s="48" t="str">
        <f ca="1">IFERROR(__xludf.DUMMYFUNCTION("""COMPUTED_VALUE"""),"SARTORI")</f>
        <v>SARTORI</v>
      </c>
      <c r="D532" s="48" t="str">
        <f ca="1">IFERROR(__xludf.DUMMYFUNCTION("""COMPUTED_VALUE"""),"Cyril")</f>
        <v>Cyril</v>
      </c>
      <c r="E532" s="49" t="str">
        <f ca="1">IFERROR(__xludf.DUMMYFUNCTION("""COMPUTED_VALUE"""),"06670257")</f>
        <v>06670257</v>
      </c>
      <c r="F532" s="48" t="str">
        <f ca="1">IFERROR(__xludf.DUMMYFUNCTION("""COMPUTED_VALUE"""),"AMICALE PONGISTE WOLXHEIM")</f>
        <v>AMICALE PONGISTE WOLXHEIM</v>
      </c>
      <c r="G532" s="50" t="str">
        <f ca="1">IFERROR(__xludf.DUMMYFUNCTION("""COMPUTED_VALUE"""),"CD67")</f>
        <v>CD67</v>
      </c>
      <c r="H532" s="50" t="str">
        <f ca="1">IFERROR(__xludf.DUMMYFUNCTION("""COMPUTED_VALUE"""),"inactivité 1ère année")</f>
        <v>inactivité 1ère année</v>
      </c>
    </row>
    <row r="533" spans="1:8" ht="12.75">
      <c r="A533" s="46">
        <f ca="1">IFERROR(__xludf.DUMMYFUNCTION("""COMPUTED_VALUE"""),521)</f>
        <v>521</v>
      </c>
      <c r="B533" s="65" t="str">
        <f ca="1">IFERROR(__xludf.DUMMYFUNCTION("""COMPUTED_VALUE"""),"6813923")</f>
        <v>6813923</v>
      </c>
      <c r="C533" s="48" t="str">
        <f ca="1">IFERROR(__xludf.DUMMYFUNCTION("""COMPUTED_VALUE"""),"SAUTER")</f>
        <v>SAUTER</v>
      </c>
      <c r="D533" s="48" t="str">
        <f ca="1">IFERROR(__xludf.DUMMYFUNCTION("""COMPUTED_VALUE"""),"Romain")</f>
        <v>Romain</v>
      </c>
      <c r="E533" s="49" t="str">
        <f ca="1">IFERROR(__xludf.DUMMYFUNCTION("""COMPUTED_VALUE"""),"06680138")</f>
        <v>06680138</v>
      </c>
      <c r="F533" s="48" t="str">
        <f ca="1">IFERROR(__xludf.DUMMYFUNCTION("""COMPUTED_VALUE"""),"SOULTZ CSM TT")</f>
        <v>SOULTZ CSM TT</v>
      </c>
      <c r="G533" s="50" t="str">
        <f ca="1">IFERROR(__xludf.DUMMYFUNCTION("""COMPUTED_VALUE"""),"CD68")</f>
        <v>CD68</v>
      </c>
      <c r="H533" s="50" t="str">
        <f ca="1">IFERROR(__xludf.DUMMYFUNCTION("""COMPUTED_VALUE"""),"inactivité 1ère année")</f>
        <v>inactivité 1ère année</v>
      </c>
    </row>
    <row r="534" spans="1:8" ht="12.75">
      <c r="A534" s="46">
        <f ca="1">IFERROR(__xludf.DUMMYFUNCTION("""COMPUTED_VALUE"""),522)</f>
        <v>522</v>
      </c>
      <c r="B534" s="65" t="str">
        <f ca="1">IFERROR(__xludf.DUMMYFUNCTION("""COMPUTED_VALUE"""),"5429547")</f>
        <v>5429547</v>
      </c>
      <c r="C534" s="48" t="str">
        <f ca="1">IFERROR(__xludf.DUMMYFUNCTION("""COMPUTED_VALUE"""),"SCHAACK")</f>
        <v>SCHAACK</v>
      </c>
      <c r="D534" s="48" t="str">
        <f ca="1">IFERROR(__xludf.DUMMYFUNCTION("""COMPUTED_VALUE"""),"Michel")</f>
        <v>Michel</v>
      </c>
      <c r="E534" s="49" t="str">
        <f ca="1">IFERROR(__xludf.DUMMYFUNCTION("""COMPUTED_VALUE"""),"06540007")</f>
        <v>06540007</v>
      </c>
      <c r="F534" s="48" t="str">
        <f ca="1">IFERROR(__xludf.DUMMYFUNCTION("""COMPUTED_VALUE"""),"BRIEY U.S. Tennis de Table")</f>
        <v>BRIEY U.S. Tennis de Table</v>
      </c>
      <c r="G534" s="50" t="str">
        <f ca="1">IFERROR(__xludf.DUMMYFUNCTION("""COMPUTED_VALUE"""),"CD54")</f>
        <v>CD54</v>
      </c>
      <c r="H534" s="50" t="str">
        <f ca="1">IFERROR(__xludf.DUMMYFUNCTION("""COMPUTED_VALUE"""),"inactivité 3ème année")</f>
        <v>inactivité 3ème année</v>
      </c>
    </row>
    <row r="535" spans="1:8" ht="12.75">
      <c r="A535" s="46">
        <f ca="1">IFERROR(__xludf.DUMMYFUNCTION("""COMPUTED_VALUE"""),523)</f>
        <v>523</v>
      </c>
      <c r="B535" s="65" t="str">
        <f ca="1">IFERROR(__xludf.DUMMYFUNCTION("""COMPUTED_VALUE"""),"5736062")</f>
        <v>5736062</v>
      </c>
      <c r="C535" s="48" t="str">
        <f ca="1">IFERROR(__xludf.DUMMYFUNCTION("""COMPUTED_VALUE"""),"SCHAFF")</f>
        <v>SCHAFF</v>
      </c>
      <c r="D535" s="48" t="str">
        <f ca="1">IFERROR(__xludf.DUMMYFUNCTION("""COMPUTED_VALUE"""),"Thibault")</f>
        <v>Thibault</v>
      </c>
      <c r="E535" s="49" t="str">
        <f ca="1">IFERROR(__xludf.DUMMYFUNCTION("""COMPUTED_VALUE"""),"06570107")</f>
        <v>06570107</v>
      </c>
      <c r="F535" s="48" t="str">
        <f ca="1">IFERROR(__xludf.DUMMYFUNCTION("""COMPUTED_VALUE"""),"MAIZIÈRES-LÈS-METZ T.T.")</f>
        <v>MAIZIÈRES-LÈS-METZ T.T.</v>
      </c>
      <c r="G535" s="50" t="str">
        <f ca="1">IFERROR(__xludf.DUMMYFUNCTION("""COMPUTED_VALUE"""),"CD57")</f>
        <v>CD57</v>
      </c>
      <c r="H535" s="50" t="str">
        <f ca="1">IFERROR(__xludf.DUMMYFUNCTION("""COMPUTED_VALUE"""),"inactivité 3ème année")</f>
        <v>inactivité 3ème année</v>
      </c>
    </row>
    <row r="536" spans="1:8" ht="12.75">
      <c r="A536" s="46">
        <f ca="1">IFERROR(__xludf.DUMMYFUNCTION("""COMPUTED_VALUE"""),524)</f>
        <v>524</v>
      </c>
      <c r="B536" s="65" t="str">
        <f ca="1">IFERROR(__xludf.DUMMYFUNCTION("""COMPUTED_VALUE"""),"68837")</f>
        <v>68837</v>
      </c>
      <c r="C536" s="48" t="str">
        <f ca="1">IFERROR(__xludf.DUMMYFUNCTION("""COMPUTED_VALUE"""),"SCHAUB")</f>
        <v>SCHAUB</v>
      </c>
      <c r="D536" s="48" t="str">
        <f ca="1">IFERROR(__xludf.DUMMYFUNCTION("""COMPUTED_VALUE"""),"Sylvain")</f>
        <v>Sylvain</v>
      </c>
      <c r="E536" s="49" t="str">
        <f ca="1">IFERROR(__xludf.DUMMYFUNCTION("""COMPUTED_VALUE"""),"06680082")</f>
        <v>06680082</v>
      </c>
      <c r="F536" s="48" t="str">
        <f ca="1">IFERROR(__xludf.DUMMYFUNCTION("""COMPUTED_VALUE"""),"SAINT-LOUIS TT")</f>
        <v>SAINT-LOUIS TT</v>
      </c>
      <c r="G536" s="50" t="str">
        <f ca="1">IFERROR(__xludf.DUMMYFUNCTION("""COMPUTED_VALUE"""),"CD68")</f>
        <v>CD68</v>
      </c>
      <c r="H536" s="50" t="str">
        <f ca="1">IFERROR(__xludf.DUMMYFUNCTION("""COMPUTED_VALUE"""),"inactivité 3ème année")</f>
        <v>inactivité 3ème année</v>
      </c>
    </row>
    <row r="537" spans="1:8" ht="12.75">
      <c r="A537" s="46">
        <f ca="1">IFERROR(__xludf.DUMMYFUNCTION("""COMPUTED_VALUE"""),525)</f>
        <v>525</v>
      </c>
      <c r="B537" s="65" t="str">
        <f ca="1">IFERROR(__xludf.DUMMYFUNCTION("""COMPUTED_VALUE"""),"68838")</f>
        <v>68838</v>
      </c>
      <c r="C537" s="48" t="str">
        <f ca="1">IFERROR(__xludf.DUMMYFUNCTION("""COMPUTED_VALUE"""),"SCHAUB")</f>
        <v>SCHAUB</v>
      </c>
      <c r="D537" s="48" t="str">
        <f ca="1">IFERROR(__xludf.DUMMYFUNCTION("""COMPUTED_VALUE"""),"Cyrille")</f>
        <v>Cyrille</v>
      </c>
      <c r="E537" s="49" t="str">
        <f ca="1">IFERROR(__xludf.DUMMYFUNCTION("""COMPUTED_VALUE"""),"06680082")</f>
        <v>06680082</v>
      </c>
      <c r="F537" s="48" t="str">
        <f ca="1">IFERROR(__xludf.DUMMYFUNCTION("""COMPUTED_VALUE"""),"SAINT-LOUIS TT")</f>
        <v>SAINT-LOUIS TT</v>
      </c>
      <c r="G537" s="50" t="str">
        <f ca="1">IFERROR(__xludf.DUMMYFUNCTION("""COMPUTED_VALUE"""),"CD68")</f>
        <v>CD68</v>
      </c>
      <c r="H537" s="50" t="str">
        <f ca="1">IFERROR(__xludf.DUMMYFUNCTION("""COMPUTED_VALUE"""),"inactivité 3ème année")</f>
        <v>inactivité 3ème année</v>
      </c>
    </row>
    <row r="538" spans="1:8" ht="12.75">
      <c r="A538" s="46">
        <f ca="1">IFERROR(__xludf.DUMMYFUNCTION("""COMPUTED_VALUE"""),526)</f>
        <v>526</v>
      </c>
      <c r="B538" s="65" t="str">
        <f ca="1">IFERROR(__xludf.DUMMYFUNCTION("""COMPUTED_VALUE"""),"6719122")</f>
        <v>6719122</v>
      </c>
      <c r="C538" s="48" t="str">
        <f ca="1">IFERROR(__xludf.DUMMYFUNCTION("""COMPUTED_VALUE"""),"SCHENHERR")</f>
        <v>SCHENHERR</v>
      </c>
      <c r="D538" s="48" t="str">
        <f ca="1">IFERROR(__xludf.DUMMYFUNCTION("""COMPUTED_VALUE"""),"Luc")</f>
        <v>Luc</v>
      </c>
      <c r="E538" s="49" t="str">
        <f ca="1">IFERROR(__xludf.DUMMYFUNCTION("""COMPUTED_VALUE"""),"06670160")</f>
        <v>06670160</v>
      </c>
      <c r="F538" s="48" t="str">
        <f ca="1">IFERROR(__xludf.DUMMYFUNCTION("""COMPUTED_VALUE"""),"T.T.Haguenau Wissembourg")</f>
        <v>T.T.Haguenau Wissembourg</v>
      </c>
      <c r="G538" s="50" t="str">
        <f ca="1">IFERROR(__xludf.DUMMYFUNCTION("""COMPUTED_VALUE"""),"CD67")</f>
        <v>CD67</v>
      </c>
      <c r="H538" s="50" t="str">
        <f ca="1">IFERROR(__xludf.DUMMYFUNCTION("""COMPUTED_VALUE"""),"actif")</f>
        <v>actif</v>
      </c>
    </row>
    <row r="539" spans="1:8" ht="12.75">
      <c r="A539" s="46">
        <f ca="1">IFERROR(__xludf.DUMMYFUNCTION("""COMPUTED_VALUE"""),527)</f>
        <v>527</v>
      </c>
      <c r="B539" s="65" t="str">
        <f ca="1">IFERROR(__xludf.DUMMYFUNCTION("""COMPUTED_VALUE"""),"6811455")</f>
        <v>6811455</v>
      </c>
      <c r="C539" s="48" t="str">
        <f ca="1">IFERROR(__xludf.DUMMYFUNCTION("""COMPUTED_VALUE"""),"SCHILL")</f>
        <v>SCHILL</v>
      </c>
      <c r="D539" s="48" t="str">
        <f ca="1">IFERROR(__xludf.DUMMYFUNCTION("""COMPUTED_VALUE"""),"Stéphane")</f>
        <v>Stéphane</v>
      </c>
      <c r="E539" s="49" t="str">
        <f ca="1">IFERROR(__xludf.DUMMYFUNCTION("""COMPUTED_VALUE"""),"06680125")</f>
        <v>06680125</v>
      </c>
      <c r="F539" s="48" t="str">
        <f ca="1">IFERROR(__xludf.DUMMYFUNCTION("""COMPUTED_VALUE"""),"ROSENAU TT")</f>
        <v>ROSENAU TT</v>
      </c>
      <c r="G539" s="50" t="str">
        <f ca="1">IFERROR(__xludf.DUMMYFUNCTION("""COMPUTED_VALUE"""),"CD68")</f>
        <v>CD68</v>
      </c>
      <c r="H539" s="50" t="str">
        <f ca="1">IFERROR(__xludf.DUMMYFUNCTION("""COMPUTED_VALUE"""),"inactivité 3ème année")</f>
        <v>inactivité 3ème année</v>
      </c>
    </row>
    <row r="540" spans="1:8" ht="12.75">
      <c r="A540" s="46">
        <f ca="1">IFERROR(__xludf.DUMMYFUNCTION("""COMPUTED_VALUE"""),528)</f>
        <v>528</v>
      </c>
      <c r="B540" s="65" t="str">
        <f ca="1">IFERROR(__xludf.DUMMYFUNCTION("""COMPUTED_VALUE"""),"5410093")</f>
        <v>5410093</v>
      </c>
      <c r="C540" s="48" t="str">
        <f ca="1">IFERROR(__xludf.DUMMYFUNCTION("""COMPUTED_VALUE"""),"SCHLETZER")</f>
        <v>SCHLETZER</v>
      </c>
      <c r="D540" s="48" t="str">
        <f ca="1">IFERROR(__xludf.DUMMYFUNCTION("""COMPUTED_VALUE"""),"Sylvie")</f>
        <v>Sylvie</v>
      </c>
      <c r="E540" s="49" t="str">
        <f ca="1">IFERROR(__xludf.DUMMYFUNCTION("""COMPUTED_VALUE"""),"06540043")</f>
        <v>06540043</v>
      </c>
      <c r="F540" s="48" t="str">
        <f ca="1">IFERROR(__xludf.DUMMYFUNCTION("""COMPUTED_VALUE"""),"NANCY S.L.U.C.")</f>
        <v>NANCY S.L.U.C.</v>
      </c>
      <c r="G540" s="50" t="str">
        <f ca="1">IFERROR(__xludf.DUMMYFUNCTION("""COMPUTED_VALUE"""),"CD54")</f>
        <v>CD54</v>
      </c>
      <c r="H540" s="50" t="str">
        <f ca="1">IFERROR(__xludf.DUMMYFUNCTION("""COMPUTED_VALUE"""),"inactivité 1ère année")</f>
        <v>inactivité 1ère année</v>
      </c>
    </row>
    <row r="541" spans="1:8" ht="12.75">
      <c r="A541" s="46">
        <f ca="1">IFERROR(__xludf.DUMMYFUNCTION("""COMPUTED_VALUE"""),529)</f>
        <v>529</v>
      </c>
      <c r="B541" s="65" t="str">
        <f ca="1">IFERROR(__xludf.DUMMYFUNCTION("""COMPUTED_VALUE"""),"573732")</f>
        <v>573732</v>
      </c>
      <c r="C541" s="48" t="str">
        <f ca="1">IFERROR(__xludf.DUMMYFUNCTION("""COMPUTED_VALUE"""),"SCHMIDT")</f>
        <v>SCHMIDT</v>
      </c>
      <c r="D541" s="48" t="str">
        <f ca="1">IFERROR(__xludf.DUMMYFUNCTION("""COMPUTED_VALUE"""),"Guy")</f>
        <v>Guy</v>
      </c>
      <c r="E541" s="49" t="str">
        <f ca="1">IFERROR(__xludf.DUMMYFUNCTION("""COMPUTED_VALUE"""),"06570019")</f>
        <v>06570019</v>
      </c>
      <c r="F541" s="48" t="str">
        <f ca="1">IFERROR(__xludf.DUMMYFUNCTION("""COMPUTED_VALUE"""),"SAINT AVOLD C.T.T.")</f>
        <v>SAINT AVOLD C.T.T.</v>
      </c>
      <c r="G541" s="50" t="str">
        <f ca="1">IFERROR(__xludf.DUMMYFUNCTION("""COMPUTED_VALUE"""),"CD57")</f>
        <v>CD57</v>
      </c>
      <c r="H541" s="50" t="str">
        <f ca="1">IFERROR(__xludf.DUMMYFUNCTION("""COMPUTED_VALUE"""),"inactivité 3ème année")</f>
        <v>inactivité 3ème année</v>
      </c>
    </row>
    <row r="542" spans="1:8" ht="12.75">
      <c r="A542" s="46">
        <f ca="1">IFERROR(__xludf.DUMMYFUNCTION("""COMPUTED_VALUE"""),530)</f>
        <v>530</v>
      </c>
      <c r="B542" s="65" t="str">
        <f ca="1">IFERROR(__xludf.DUMMYFUNCTION("""COMPUTED_VALUE"""),"676120")</f>
        <v>676120</v>
      </c>
      <c r="C542" s="48" t="str">
        <f ca="1">IFERROR(__xludf.DUMMYFUNCTION("""COMPUTED_VALUE"""),"SCHMITT")</f>
        <v>SCHMITT</v>
      </c>
      <c r="D542" s="48" t="str">
        <f ca="1">IFERROR(__xludf.DUMMYFUNCTION("""COMPUTED_VALUE"""),"Vincent")</f>
        <v>Vincent</v>
      </c>
      <c r="E542" s="49" t="str">
        <f ca="1">IFERROR(__xludf.DUMMYFUNCTION("""COMPUTED_VALUE"""),"06670027")</f>
        <v>06670027</v>
      </c>
      <c r="F542" s="48" t="str">
        <f ca="1">IFERROR(__xludf.DUMMYFUNCTION("""COMPUTED_VALUE"""),"ROSHEIM CA")</f>
        <v>ROSHEIM CA</v>
      </c>
      <c r="G542" s="50" t="str">
        <f ca="1">IFERROR(__xludf.DUMMYFUNCTION("""COMPUTED_VALUE"""),"CD67")</f>
        <v>CD67</v>
      </c>
      <c r="H542" s="50" t="str">
        <f ca="1">IFERROR(__xludf.DUMMYFUNCTION("""COMPUTED_VALUE"""),"inactivité 2ème année")</f>
        <v>inactivité 2ème année</v>
      </c>
    </row>
    <row r="543" spans="1:8" ht="12.75">
      <c r="A543" s="46">
        <f ca="1">IFERROR(__xludf.DUMMYFUNCTION("""COMPUTED_VALUE"""),531)</f>
        <v>531</v>
      </c>
      <c r="B543" s="65" t="str">
        <f ca="1">IFERROR(__xludf.DUMMYFUNCTION("""COMPUTED_VALUE"""),"5728074")</f>
        <v>5728074</v>
      </c>
      <c r="C543" s="48" t="str">
        <f ca="1">IFERROR(__xludf.DUMMYFUNCTION("""COMPUTED_VALUE"""),"SCHMITT")</f>
        <v>SCHMITT</v>
      </c>
      <c r="D543" s="48" t="str">
        <f ca="1">IFERROR(__xludf.DUMMYFUNCTION("""COMPUTED_VALUE"""),"Lionel")</f>
        <v>Lionel</v>
      </c>
      <c r="E543" s="49" t="str">
        <f ca="1">IFERROR(__xludf.DUMMYFUNCTION("""COMPUTED_VALUE"""),"06570175")</f>
        <v>06570175</v>
      </c>
      <c r="F543" s="48" t="str">
        <f ca="1">IFERROR(__xludf.DUMMYFUNCTION("""COMPUTED_VALUE"""),"METZ GRANGE AUX BOIS TT")</f>
        <v>METZ GRANGE AUX BOIS TT</v>
      </c>
      <c r="G543" s="50" t="str">
        <f ca="1">IFERROR(__xludf.DUMMYFUNCTION("""COMPUTED_VALUE"""),"CD57")</f>
        <v>CD57</v>
      </c>
      <c r="H543" s="50" t="str">
        <f ca="1">IFERROR(__xludf.DUMMYFUNCTION("""COMPUTED_VALUE"""),"inactivité 2ème année")</f>
        <v>inactivité 2ème année</v>
      </c>
    </row>
    <row r="544" spans="1:8" ht="12.75">
      <c r="A544" s="46">
        <f ca="1">IFERROR(__xludf.DUMMYFUNCTION("""COMPUTED_VALUE"""),532)</f>
        <v>532</v>
      </c>
      <c r="B544" s="65" t="str">
        <f ca="1">IFERROR(__xludf.DUMMYFUNCTION("""COMPUTED_VALUE"""),"6725294")</f>
        <v>6725294</v>
      </c>
      <c r="C544" s="48" t="str">
        <f ca="1">IFERROR(__xludf.DUMMYFUNCTION("""COMPUTED_VALUE"""),"SCHMITT")</f>
        <v>SCHMITT</v>
      </c>
      <c r="D544" s="48" t="str">
        <f ca="1">IFERROR(__xludf.DUMMYFUNCTION("""COMPUTED_VALUE"""),"Jeremy")</f>
        <v>Jeremy</v>
      </c>
      <c r="E544" s="49" t="str">
        <f ca="1">IFERROR(__xludf.DUMMYFUNCTION("""COMPUTED_VALUE"""),"06670045")</f>
        <v>06670045</v>
      </c>
      <c r="F544" s="48" t="str">
        <f ca="1">IFERROR(__xludf.DUMMYFUNCTION("""COMPUTED_VALUE"""),"STRASBOURG RC")</f>
        <v>STRASBOURG RC</v>
      </c>
      <c r="G544" s="50" t="str">
        <f ca="1">IFERROR(__xludf.DUMMYFUNCTION("""COMPUTED_VALUE"""),"CD67")</f>
        <v>CD67</v>
      </c>
      <c r="H544" s="50" t="str">
        <f ca="1">IFERROR(__xludf.DUMMYFUNCTION("""COMPUTED_VALUE"""),"actif")</f>
        <v>actif</v>
      </c>
    </row>
    <row r="545" spans="1:8" ht="12.75">
      <c r="A545" s="46">
        <f ca="1">IFERROR(__xludf.DUMMYFUNCTION("""COMPUTED_VALUE"""),533)</f>
        <v>533</v>
      </c>
      <c r="B545" s="65" t="str">
        <f ca="1">IFERROR(__xludf.DUMMYFUNCTION("""COMPUTED_VALUE"""),"5411509")</f>
        <v>5411509</v>
      </c>
      <c r="C545" s="48" t="str">
        <f ca="1">IFERROR(__xludf.DUMMYFUNCTION("""COMPUTED_VALUE"""),"SCHNEIDER")</f>
        <v>SCHNEIDER</v>
      </c>
      <c r="D545" s="48" t="str">
        <f ca="1">IFERROR(__xludf.DUMMYFUNCTION("""COMPUTED_VALUE"""),"Jean Marie")</f>
        <v>Jean Marie</v>
      </c>
      <c r="E545" s="49" t="str">
        <f ca="1">IFERROR(__xludf.DUMMYFUNCTION("""COMPUTED_VALUE"""),"06540055")</f>
        <v>06540055</v>
      </c>
      <c r="F545" s="48" t="str">
        <f ca="1">IFERROR(__xludf.DUMMYFUNCTION("""COMPUTED_VALUE"""),"LAY SAINT CHRISTOPHE TTLSC")</f>
        <v>LAY SAINT CHRISTOPHE TTLSC</v>
      </c>
      <c r="G545" s="50" t="str">
        <f ca="1">IFERROR(__xludf.DUMMYFUNCTION("""COMPUTED_VALUE"""),"CD54")</f>
        <v>CD54</v>
      </c>
      <c r="H545" s="50" t="str">
        <f ca="1">IFERROR(__xludf.DUMMYFUNCTION("""COMPUTED_VALUE"""),"inactivité 2ème année")</f>
        <v>inactivité 2ème année</v>
      </c>
    </row>
    <row r="546" spans="1:8" ht="12.75">
      <c r="A546" s="46">
        <f ca="1">IFERROR(__xludf.DUMMYFUNCTION("""COMPUTED_VALUE"""),534)</f>
        <v>534</v>
      </c>
      <c r="B546" s="65" t="str">
        <f ca="1">IFERROR(__xludf.DUMMYFUNCTION("""COMPUTED_VALUE"""),"6727622")</f>
        <v>6727622</v>
      </c>
      <c r="C546" s="48" t="str">
        <f ca="1">IFERROR(__xludf.DUMMYFUNCTION("""COMPUTED_VALUE"""),"SCHNEIDER")</f>
        <v>SCHNEIDER</v>
      </c>
      <c r="D546" s="48" t="str">
        <f ca="1">IFERROR(__xludf.DUMMYFUNCTION("""COMPUTED_VALUE"""),"Sophie")</f>
        <v>Sophie</v>
      </c>
      <c r="E546" s="49" t="str">
        <f ca="1">IFERROR(__xludf.DUMMYFUNCTION("""COMPUTED_VALUE"""),"06670010")</f>
        <v>06670010</v>
      </c>
      <c r="F546" s="48" t="str">
        <f ca="1">IFERROR(__xludf.DUMMYFUNCTION("""COMPUTED_VALUE"""),"SCHILTIGHEIM SU TT")</f>
        <v>SCHILTIGHEIM SU TT</v>
      </c>
      <c r="G546" s="50" t="str">
        <f ca="1">IFERROR(__xludf.DUMMYFUNCTION("""COMPUTED_VALUE"""),"CD67")</f>
        <v>CD67</v>
      </c>
      <c r="H546" s="50" t="str">
        <f ca="1">IFERROR(__xludf.DUMMYFUNCTION("""COMPUTED_VALUE"""),"actif")</f>
        <v>actif</v>
      </c>
    </row>
    <row r="547" spans="1:8" ht="12.75">
      <c r="A547" s="46">
        <f ca="1">IFERROR(__xludf.DUMMYFUNCTION("""COMPUTED_VALUE"""),535)</f>
        <v>535</v>
      </c>
      <c r="B547" s="65" t="str">
        <f ca="1">IFERROR(__xludf.DUMMYFUNCTION("""COMPUTED_VALUE"""),"679626")</f>
        <v>679626</v>
      </c>
      <c r="C547" s="48" t="str">
        <f ca="1">IFERROR(__xludf.DUMMYFUNCTION("""COMPUTED_VALUE"""),"SCHNEIDER")</f>
        <v>SCHNEIDER</v>
      </c>
      <c r="D547" s="48" t="str">
        <f ca="1">IFERROR(__xludf.DUMMYFUNCTION("""COMPUTED_VALUE"""),"Mathieu")</f>
        <v>Mathieu</v>
      </c>
      <c r="E547" s="49" t="str">
        <f ca="1">IFERROR(__xludf.DUMMYFUNCTION("""COMPUTED_VALUE"""),"06670160")</f>
        <v>06670160</v>
      </c>
      <c r="F547" s="48" t="str">
        <f ca="1">IFERROR(__xludf.DUMMYFUNCTION("""COMPUTED_VALUE"""),"T.T.Haguenau Wissembourg")</f>
        <v>T.T.Haguenau Wissembourg</v>
      </c>
      <c r="G547" s="50" t="str">
        <f ca="1">IFERROR(__xludf.DUMMYFUNCTION("""COMPUTED_VALUE"""),"CD67")</f>
        <v>CD67</v>
      </c>
      <c r="H547" s="50" t="str">
        <f ca="1">IFERROR(__xludf.DUMMYFUNCTION("""COMPUTED_VALUE"""),"actif")</f>
        <v>actif</v>
      </c>
    </row>
    <row r="548" spans="1:8" ht="12.75">
      <c r="A548" s="46">
        <f ca="1">IFERROR(__xludf.DUMMYFUNCTION("""COMPUTED_VALUE"""),536)</f>
        <v>536</v>
      </c>
      <c r="B548" s="65" t="str">
        <f ca="1">IFERROR(__xludf.DUMMYFUNCTION("""COMPUTED_VALUE"""),"6721691")</f>
        <v>6721691</v>
      </c>
      <c r="C548" s="48" t="str">
        <f ca="1">IFERROR(__xludf.DUMMYFUNCTION("""COMPUTED_VALUE"""),"SCHOTT")</f>
        <v>SCHOTT</v>
      </c>
      <c r="D548" s="48" t="str">
        <f ca="1">IFERROR(__xludf.DUMMYFUNCTION("""COMPUTED_VALUE"""),"Arnaud")</f>
        <v>Arnaud</v>
      </c>
      <c r="E548" s="49" t="str">
        <f ca="1">IFERROR(__xludf.DUMMYFUNCTION("""COMPUTED_VALUE"""),"06670187")</f>
        <v>06670187</v>
      </c>
      <c r="F548" s="48" t="str">
        <f ca="1">IFERROR(__xludf.DUMMYFUNCTION("""COMPUTED_VALUE"""),"SCHIRRHEIN-SCHIRRHOFFEN CSCSN")</f>
        <v>SCHIRRHEIN-SCHIRRHOFFEN CSCSN</v>
      </c>
      <c r="G548" s="50" t="str">
        <f ca="1">IFERROR(__xludf.DUMMYFUNCTION("""COMPUTED_VALUE"""),"CD67")</f>
        <v>CD67</v>
      </c>
      <c r="H548" s="50" t="str">
        <f ca="1">IFERROR(__xludf.DUMMYFUNCTION("""COMPUTED_VALUE"""),"inactivité 1ère année")</f>
        <v>inactivité 1ère année</v>
      </c>
    </row>
    <row r="549" spans="1:8" ht="12.75">
      <c r="A549" s="46">
        <f ca="1">IFERROR(__xludf.DUMMYFUNCTION("""COMPUTED_VALUE"""),537)</f>
        <v>537</v>
      </c>
      <c r="B549" s="65" t="str">
        <f ca="1">IFERROR(__xludf.DUMMYFUNCTION("""COMPUTED_VALUE"""),"559178")</f>
        <v>559178</v>
      </c>
      <c r="C549" s="48" t="str">
        <f ca="1">IFERROR(__xludf.DUMMYFUNCTION("""COMPUTED_VALUE"""),"SCHROEDER")</f>
        <v>SCHROEDER</v>
      </c>
      <c r="D549" s="48" t="str">
        <f ca="1">IFERROR(__xludf.DUMMYFUNCTION("""COMPUTED_VALUE"""),"Simon")</f>
        <v>Simon</v>
      </c>
      <c r="E549" s="49" t="str">
        <f ca="1">IFERROR(__xludf.DUMMYFUNCTION("""COMPUTED_VALUE"""),"06550013")</f>
        <v>06550013</v>
      </c>
      <c r="F549" s="48" t="str">
        <f ca="1">IFERROR(__xludf.DUMMYFUNCTION("""COMPUTED_VALUE"""),"VERDUN S.A.V.T.T.")</f>
        <v>VERDUN S.A.V.T.T.</v>
      </c>
      <c r="G549" s="50" t="str">
        <f ca="1">IFERROR(__xludf.DUMMYFUNCTION("""COMPUTED_VALUE"""),"CD55")</f>
        <v>CD55</v>
      </c>
      <c r="H549" s="50" t="str">
        <f ca="1">IFERROR(__xludf.DUMMYFUNCTION("""COMPUTED_VALUE"""),"inactivité 1ère année")</f>
        <v>inactivité 1ère année</v>
      </c>
    </row>
    <row r="550" spans="1:8" ht="12.75">
      <c r="A550" s="46">
        <f ca="1">IFERROR(__xludf.DUMMYFUNCTION("""COMPUTED_VALUE"""),538)</f>
        <v>538</v>
      </c>
      <c r="B550" s="65" t="str">
        <f ca="1">IFERROR(__xludf.DUMMYFUNCTION("""COMPUTED_VALUE"""),"559179")</f>
        <v>559179</v>
      </c>
      <c r="C550" s="48" t="str">
        <f ca="1">IFERROR(__xludf.DUMMYFUNCTION("""COMPUTED_VALUE"""),"SCHROEDER")</f>
        <v>SCHROEDER</v>
      </c>
      <c r="D550" s="48" t="str">
        <f ca="1">IFERROR(__xludf.DUMMYFUNCTION("""COMPUTED_VALUE"""),"Ernest")</f>
        <v>Ernest</v>
      </c>
      <c r="E550" s="49" t="str">
        <f ca="1">IFERROR(__xludf.DUMMYFUNCTION("""COMPUTED_VALUE"""),"06550013")</f>
        <v>06550013</v>
      </c>
      <c r="F550" s="48" t="str">
        <f ca="1">IFERROR(__xludf.DUMMYFUNCTION("""COMPUTED_VALUE"""),"VERDUN S.A.V.T.T.")</f>
        <v>VERDUN S.A.V.T.T.</v>
      </c>
      <c r="G550" s="50" t="str">
        <f ca="1">IFERROR(__xludf.DUMMYFUNCTION("""COMPUTED_VALUE"""),"CD55")</f>
        <v>CD55</v>
      </c>
      <c r="H550" s="50" t="str">
        <f ca="1">IFERROR(__xludf.DUMMYFUNCTION("""COMPUTED_VALUE"""),"actif")</f>
        <v>actif</v>
      </c>
    </row>
    <row r="551" spans="1:8" ht="12.75">
      <c r="A551" s="46">
        <f ca="1">IFERROR(__xludf.DUMMYFUNCTION("""COMPUTED_VALUE"""),539)</f>
        <v>539</v>
      </c>
      <c r="B551" s="65" t="str">
        <f ca="1">IFERROR(__xludf.DUMMYFUNCTION("""COMPUTED_VALUE"""),"514760")</f>
        <v>514760</v>
      </c>
      <c r="C551" s="48" t="str">
        <f ca="1">IFERROR(__xludf.DUMMYFUNCTION("""COMPUTED_VALUE"""),"SCHUER")</f>
        <v>SCHUER</v>
      </c>
      <c r="D551" s="48" t="str">
        <f ca="1">IFERROR(__xludf.DUMMYFUNCTION("""COMPUTED_VALUE"""),"Cyril")</f>
        <v>Cyril</v>
      </c>
      <c r="E551" s="49" t="str">
        <f ca="1">IFERROR(__xludf.DUMMYFUNCTION("""COMPUTED_VALUE"""),"06510018")</f>
        <v>06510018</v>
      </c>
      <c r="F551" s="48" t="str">
        <f ca="1">IFERROR(__xludf.DUMMYFUNCTION("""COMPUTED_VALUE"""),"REIMS ASPTT")</f>
        <v>REIMS ASPTT</v>
      </c>
      <c r="G551" s="50" t="str">
        <f ca="1">IFERROR(__xludf.DUMMYFUNCTION("""COMPUTED_VALUE"""),"CD51")</f>
        <v>CD51</v>
      </c>
      <c r="H551" s="50" t="str">
        <f ca="1">IFERROR(__xludf.DUMMYFUNCTION("""COMPUTED_VALUE"""),"actif")</f>
        <v>actif</v>
      </c>
    </row>
    <row r="552" spans="1:8" ht="12.75">
      <c r="A552" s="46">
        <f ca="1">IFERROR(__xludf.DUMMYFUNCTION("""COMPUTED_VALUE"""),540)</f>
        <v>540</v>
      </c>
      <c r="B552" s="65" t="str">
        <f ca="1">IFERROR(__xludf.DUMMYFUNCTION("""COMPUTED_VALUE"""),"085905")</f>
        <v>085905</v>
      </c>
      <c r="C552" s="48" t="str">
        <f ca="1">IFERROR(__xludf.DUMMYFUNCTION("""COMPUTED_VALUE"""),"SCHULZ")</f>
        <v>SCHULZ</v>
      </c>
      <c r="D552" s="48" t="str">
        <f ca="1">IFERROR(__xludf.DUMMYFUNCTION("""COMPUTED_VALUE"""),"Thomas")</f>
        <v>Thomas</v>
      </c>
      <c r="E552" s="49" t="str">
        <f ca="1">IFERROR(__xludf.DUMMYFUNCTION("""COMPUTED_VALUE"""),"06080043")</f>
        <v>06080043</v>
      </c>
      <c r="F552" s="48" t="str">
        <f ca="1">IFERROR(__xludf.DUMMYFUNCTION("""COMPUTED_VALUE"""),"ETREPIGNY TT")</f>
        <v>ETREPIGNY TT</v>
      </c>
      <c r="G552" s="50" t="str">
        <f ca="1">IFERROR(__xludf.DUMMYFUNCTION("""COMPUTED_VALUE"""),"CD08")</f>
        <v>CD08</v>
      </c>
      <c r="H552" s="50" t="str">
        <f ca="1">IFERROR(__xludf.DUMMYFUNCTION("""COMPUTED_VALUE"""),"inactivité 3ème année")</f>
        <v>inactivité 3ème année</v>
      </c>
    </row>
    <row r="553" spans="1:8" ht="12.75">
      <c r="A553" s="46">
        <f ca="1">IFERROR(__xludf.DUMMYFUNCTION("""COMPUTED_VALUE"""),541)</f>
        <v>541</v>
      </c>
      <c r="B553" s="65" t="str">
        <f ca="1">IFERROR(__xludf.DUMMYFUNCTION("""COMPUTED_VALUE"""),"6715237")</f>
        <v>6715237</v>
      </c>
      <c r="C553" s="48" t="str">
        <f ca="1">IFERROR(__xludf.DUMMYFUNCTION("""COMPUTED_VALUE"""),"SCHWARTZ")</f>
        <v>SCHWARTZ</v>
      </c>
      <c r="D553" s="48" t="str">
        <f ca="1">IFERROR(__xludf.DUMMYFUNCTION("""COMPUTED_VALUE"""),"Eric")</f>
        <v>Eric</v>
      </c>
      <c r="E553" s="49" t="str">
        <f ca="1">IFERROR(__xludf.DUMMYFUNCTION("""COMPUTED_VALUE"""),"06670002")</f>
        <v>06670002</v>
      </c>
      <c r="F553" s="48" t="str">
        <f ca="1">IFERROR(__xludf.DUMMYFUNCTION("""COMPUTED_VALUE"""),"STRASBOURG ST JEAN CS 1852")</f>
        <v>STRASBOURG ST JEAN CS 1852</v>
      </c>
      <c r="G553" s="50" t="str">
        <f ca="1">IFERROR(__xludf.DUMMYFUNCTION("""COMPUTED_VALUE"""),"CD67")</f>
        <v>CD67</v>
      </c>
      <c r="H553" s="50" t="str">
        <f ca="1">IFERROR(__xludf.DUMMYFUNCTION("""COMPUTED_VALUE"""),"actif")</f>
        <v>actif</v>
      </c>
    </row>
    <row r="554" spans="1:8" ht="12.75">
      <c r="A554" s="46">
        <f ca="1">IFERROR(__xludf.DUMMYFUNCTION("""COMPUTED_VALUE"""),542)</f>
        <v>542</v>
      </c>
      <c r="B554" s="65" t="str">
        <f ca="1">IFERROR(__xludf.DUMMYFUNCTION("""COMPUTED_VALUE"""),"684245")</f>
        <v>684245</v>
      </c>
      <c r="C554" s="48" t="str">
        <f ca="1">IFERROR(__xludf.DUMMYFUNCTION("""COMPUTED_VALUE"""),"SCHWARZ")</f>
        <v>SCHWARZ</v>
      </c>
      <c r="D554" s="48" t="str">
        <f ca="1">IFERROR(__xludf.DUMMYFUNCTION("""COMPUTED_VALUE"""),"Christian")</f>
        <v>Christian</v>
      </c>
      <c r="E554" s="49" t="str">
        <f ca="1">IFERROR(__xludf.DUMMYFUNCTION("""COMPUTED_VALUE"""),"06680111")</f>
        <v>06680111</v>
      </c>
      <c r="F554" s="48" t="str">
        <f ca="1">IFERROR(__xludf.DUMMYFUNCTION("""COMPUTED_VALUE"""),"THANN TENNIS DE TABLE CLUB")</f>
        <v>THANN TENNIS DE TABLE CLUB</v>
      </c>
      <c r="G554" s="50" t="str">
        <f ca="1">IFERROR(__xludf.DUMMYFUNCTION("""COMPUTED_VALUE"""),"CD68")</f>
        <v>CD68</v>
      </c>
      <c r="H554" s="50" t="str">
        <f ca="1">IFERROR(__xludf.DUMMYFUNCTION("""COMPUTED_VALUE"""),"inactivité 1ère année")</f>
        <v>inactivité 1ère année</v>
      </c>
    </row>
    <row r="555" spans="1:8" ht="12.75">
      <c r="A555" s="46">
        <f ca="1">IFERROR(__xludf.DUMMYFUNCTION("""COMPUTED_VALUE"""),543)</f>
        <v>543</v>
      </c>
      <c r="B555" s="65" t="str">
        <f ca="1">IFERROR(__xludf.DUMMYFUNCTION("""COMPUTED_VALUE"""),"684244")</f>
        <v>684244</v>
      </c>
      <c r="C555" s="48" t="str">
        <f ca="1">IFERROR(__xludf.DUMMYFUNCTION("""COMPUTED_VALUE"""),"SCHWARZ")</f>
        <v>SCHWARZ</v>
      </c>
      <c r="D555" s="48" t="str">
        <f ca="1">IFERROR(__xludf.DUMMYFUNCTION("""COMPUTED_VALUE"""),"Laurent")</f>
        <v>Laurent</v>
      </c>
      <c r="E555" s="49" t="str">
        <f ca="1">IFERROR(__xludf.DUMMYFUNCTION("""COMPUTED_VALUE"""),"06680111")</f>
        <v>06680111</v>
      </c>
      <c r="F555" s="48" t="str">
        <f ca="1">IFERROR(__xludf.DUMMYFUNCTION("""COMPUTED_VALUE"""),"THANN TENNIS DE TABLE CLUB")</f>
        <v>THANN TENNIS DE TABLE CLUB</v>
      </c>
      <c r="G555" s="50" t="str">
        <f ca="1">IFERROR(__xludf.DUMMYFUNCTION("""COMPUTED_VALUE"""),"CD68")</f>
        <v>CD68</v>
      </c>
      <c r="H555" s="50" t="str">
        <f ca="1">IFERROR(__xludf.DUMMYFUNCTION("""COMPUTED_VALUE"""),"inactivité 1ère année")</f>
        <v>inactivité 1ère année</v>
      </c>
    </row>
    <row r="556" spans="1:8" ht="12.75">
      <c r="A556" s="46">
        <f ca="1">IFERROR(__xludf.DUMMYFUNCTION("""COMPUTED_VALUE"""),544)</f>
        <v>544</v>
      </c>
      <c r="B556" s="65" t="str">
        <f ca="1">IFERROR(__xludf.DUMMYFUNCTION("""COMPUTED_VALUE"""),"5437248")</f>
        <v>5437248</v>
      </c>
      <c r="C556" s="48" t="str">
        <f ca="1">IFERROR(__xludf.DUMMYFUNCTION("""COMPUTED_VALUE"""),"SEBILLAUD")</f>
        <v>SEBILLAUD</v>
      </c>
      <c r="D556" s="48" t="str">
        <f ca="1">IFERROR(__xludf.DUMMYFUNCTION("""COMPUTED_VALUE"""),"Valentin")</f>
        <v>Valentin</v>
      </c>
      <c r="E556" s="49" t="str">
        <f ca="1">IFERROR(__xludf.DUMMYFUNCTION("""COMPUTED_VALUE"""),"06540001")</f>
        <v>06540001</v>
      </c>
      <c r="F556" s="48" t="str">
        <f ca="1">IFERROR(__xludf.DUMMYFUNCTION("""COMPUTED_VALUE"""),"BLAINVILLE DAMELEVIERES AC")</f>
        <v>BLAINVILLE DAMELEVIERES AC</v>
      </c>
      <c r="G556" s="50" t="str">
        <f ca="1">IFERROR(__xludf.DUMMYFUNCTION("""COMPUTED_VALUE"""),"CD54")</f>
        <v>CD54</v>
      </c>
      <c r="H556" s="50" t="str">
        <f ca="1">IFERROR(__xludf.DUMMYFUNCTION("""COMPUTED_VALUE"""),"actif")</f>
        <v>actif</v>
      </c>
    </row>
    <row r="557" spans="1:8" ht="12.75">
      <c r="A557" s="46">
        <f ca="1">IFERROR(__xludf.DUMMYFUNCTION("""COMPUTED_VALUE"""),545)</f>
        <v>545</v>
      </c>
      <c r="B557" s="65" t="str">
        <f ca="1">IFERROR(__xludf.DUMMYFUNCTION("""COMPUTED_VALUE"""),"881963")</f>
        <v>881963</v>
      </c>
      <c r="C557" s="48" t="str">
        <f ca="1">IFERROR(__xludf.DUMMYFUNCTION("""COMPUTED_VALUE"""),"SEVERIN")</f>
        <v>SEVERIN</v>
      </c>
      <c r="D557" s="48" t="str">
        <f ca="1">IFERROR(__xludf.DUMMYFUNCTION("""COMPUTED_VALUE"""),"Jean Louis")</f>
        <v>Jean Louis</v>
      </c>
      <c r="E557" s="49" t="str">
        <f ca="1">IFERROR(__xludf.DUMMYFUNCTION("""COMPUTED_VALUE"""),"06880022")</f>
        <v>06880022</v>
      </c>
      <c r="F557" s="48" t="str">
        <f ca="1">IFERROR(__xludf.DUMMYFUNCTION("""COMPUTED_VALUE"""),"VITTEL SAINT REMY TT")</f>
        <v>VITTEL SAINT REMY TT</v>
      </c>
      <c r="G557" s="50" t="str">
        <f ca="1">IFERROR(__xludf.DUMMYFUNCTION("""COMPUTED_VALUE"""),"CD88")</f>
        <v>CD88</v>
      </c>
      <c r="H557" s="50" t="str">
        <f ca="1">IFERROR(__xludf.DUMMYFUNCTION("""COMPUTED_VALUE"""),"inactivité 2ème année")</f>
        <v>inactivité 2ème année</v>
      </c>
    </row>
    <row r="558" spans="1:8" ht="12.75">
      <c r="A558" s="46">
        <f ca="1">IFERROR(__xludf.DUMMYFUNCTION("""COMPUTED_VALUE"""),546)</f>
        <v>546</v>
      </c>
      <c r="B558" s="65" t="str">
        <f ca="1">IFERROR(__xludf.DUMMYFUNCTION("""COMPUTED_VALUE"""),"6714381")</f>
        <v>6714381</v>
      </c>
      <c r="C558" s="48" t="str">
        <f ca="1">IFERROR(__xludf.DUMMYFUNCTION("""COMPUTED_VALUE"""),"SIGRIST")</f>
        <v>SIGRIST</v>
      </c>
      <c r="D558" s="48" t="str">
        <f ca="1">IFERROR(__xludf.DUMMYFUNCTION("""COMPUTED_VALUE"""),"Guillaume")</f>
        <v>Guillaume</v>
      </c>
      <c r="E558" s="49" t="str">
        <f ca="1">IFERROR(__xludf.DUMMYFUNCTION("""COMPUTED_VALUE"""),"06670248")</f>
        <v>06670248</v>
      </c>
      <c r="F558" s="48" t="str">
        <f ca="1">IFERROR(__xludf.DUMMYFUNCTION("""COMPUTED_VALUE"""),"MARMOUTIER CSE")</f>
        <v>MARMOUTIER CSE</v>
      </c>
      <c r="G558" s="50" t="str">
        <f ca="1">IFERROR(__xludf.DUMMYFUNCTION("""COMPUTED_VALUE"""),"CD67")</f>
        <v>CD67</v>
      </c>
      <c r="H558" s="50" t="str">
        <f ca="1">IFERROR(__xludf.DUMMYFUNCTION("""COMPUTED_VALUE"""),"inactivité 3ème année")</f>
        <v>inactivité 3ème année</v>
      </c>
    </row>
    <row r="559" spans="1:8" ht="12.75">
      <c r="A559" s="46">
        <f ca="1">IFERROR(__xludf.DUMMYFUNCTION("""COMPUTED_VALUE"""),547)</f>
        <v>547</v>
      </c>
      <c r="B559" s="65" t="str">
        <f ca="1">IFERROR(__xludf.DUMMYFUNCTION("""COMPUTED_VALUE"""),"103249")</f>
        <v>103249</v>
      </c>
      <c r="C559" s="48" t="str">
        <f ca="1">IFERROR(__xludf.DUMMYFUNCTION("""COMPUTED_VALUE"""),"SILIPHAYBOUNE")</f>
        <v>SILIPHAYBOUNE</v>
      </c>
      <c r="D559" s="48" t="str">
        <f ca="1">IFERROR(__xludf.DUMMYFUNCTION("""COMPUTED_VALUE"""),"Francoise")</f>
        <v>Francoise</v>
      </c>
      <c r="E559" s="49" t="str">
        <f ca="1">IFERROR(__xludf.DUMMYFUNCTION("""COMPUTED_VALUE"""),"06100005")</f>
        <v>06100005</v>
      </c>
      <c r="F559" s="48" t="str">
        <f ca="1">IFERROR(__xludf.DUMMYFUNCTION("""COMPUTED_VALUE"""),"ROMILLY SPORTS 10")</f>
        <v>ROMILLY SPORTS 10</v>
      </c>
      <c r="G559" s="50" t="str">
        <f ca="1">IFERROR(__xludf.DUMMYFUNCTION("""COMPUTED_VALUE"""),"CD10")</f>
        <v>CD10</v>
      </c>
      <c r="H559" s="50" t="str">
        <f ca="1">IFERROR(__xludf.DUMMYFUNCTION("""COMPUTED_VALUE"""),"inactivité 1ère année")</f>
        <v>inactivité 1ère année</v>
      </c>
    </row>
    <row r="560" spans="1:8" ht="12.75">
      <c r="A560" s="46">
        <f ca="1">IFERROR(__xludf.DUMMYFUNCTION("""COMPUTED_VALUE"""),548)</f>
        <v>548</v>
      </c>
      <c r="B560" s="65" t="str">
        <f ca="1">IFERROR(__xludf.DUMMYFUNCTION("""COMPUTED_VALUE"""),"0810737")</f>
        <v>0810737</v>
      </c>
      <c r="C560" s="48" t="str">
        <f ca="1">IFERROR(__xludf.DUMMYFUNCTION("""COMPUTED_VALUE"""),"SIMON")</f>
        <v>SIMON</v>
      </c>
      <c r="D560" s="48" t="str">
        <f ca="1">IFERROR(__xludf.DUMMYFUNCTION("""COMPUTED_VALUE"""),"Mathieu")</f>
        <v>Mathieu</v>
      </c>
      <c r="E560" s="49" t="str">
        <f ca="1">IFERROR(__xludf.DUMMYFUNCTION("""COMPUTED_VALUE"""),"06080004")</f>
        <v>06080004</v>
      </c>
      <c r="F560" s="48" t="str">
        <f ca="1">IFERROR(__xludf.DUMMYFUNCTION("""COMPUTED_VALUE"""),"SEDAN TT")</f>
        <v>SEDAN TT</v>
      </c>
      <c r="G560" s="50" t="str">
        <f ca="1">IFERROR(__xludf.DUMMYFUNCTION("""COMPUTED_VALUE"""),"CD08")</f>
        <v>CD08</v>
      </c>
      <c r="H560" s="50" t="str">
        <f ca="1">IFERROR(__xludf.DUMMYFUNCTION("""COMPUTED_VALUE"""),"inactivité 3ème année")</f>
        <v>inactivité 3ème année</v>
      </c>
    </row>
    <row r="561" spans="1:8" ht="12.75">
      <c r="A561" s="46">
        <f ca="1">IFERROR(__xludf.DUMMYFUNCTION("""COMPUTED_VALUE"""),549)</f>
        <v>549</v>
      </c>
      <c r="B561" s="65" t="str">
        <f ca="1">IFERROR(__xludf.DUMMYFUNCTION("""COMPUTED_VALUE"""),"5114723")</f>
        <v>5114723</v>
      </c>
      <c r="C561" s="48" t="str">
        <f ca="1">IFERROR(__xludf.DUMMYFUNCTION("""COMPUTED_VALUE"""),"SIMONET")</f>
        <v>SIMONET</v>
      </c>
      <c r="D561" s="48" t="str">
        <f ca="1">IFERROR(__xludf.DUMMYFUNCTION("""COMPUTED_VALUE"""),"Antoine")</f>
        <v>Antoine</v>
      </c>
      <c r="E561" s="49" t="str">
        <f ca="1">IFERROR(__xludf.DUMMYFUNCTION("""COMPUTED_VALUE"""),"06510019")</f>
        <v>06510019</v>
      </c>
      <c r="F561" s="48" t="str">
        <f ca="1">IFERROR(__xludf.DUMMYFUNCTION("""COMPUTED_VALUE"""),"TAISSY ASTT")</f>
        <v>TAISSY ASTT</v>
      </c>
      <c r="G561" s="50" t="str">
        <f ca="1">IFERROR(__xludf.DUMMYFUNCTION("""COMPUTED_VALUE"""),"CD51")</f>
        <v>CD51</v>
      </c>
      <c r="H561" s="50" t="str">
        <f ca="1">IFERROR(__xludf.DUMMYFUNCTION("""COMPUTED_VALUE"""),"inactivité 2ème année")</f>
        <v>inactivité 2ème année</v>
      </c>
    </row>
    <row r="562" spans="1:8" ht="12.75">
      <c r="A562" s="46">
        <f ca="1">IFERROR(__xludf.DUMMYFUNCTION("""COMPUTED_VALUE"""),550)</f>
        <v>550</v>
      </c>
      <c r="B562" s="65" t="str">
        <f ca="1">IFERROR(__xludf.DUMMYFUNCTION("""COMPUTED_VALUE"""),"685758")</f>
        <v>685758</v>
      </c>
      <c r="C562" s="48" t="str">
        <f ca="1">IFERROR(__xludf.DUMMYFUNCTION("""COMPUTED_VALUE"""),"SIMONUTTI")</f>
        <v>SIMONUTTI</v>
      </c>
      <c r="D562" s="48" t="str">
        <f ca="1">IFERROR(__xludf.DUMMYFUNCTION("""COMPUTED_VALUE"""),"Dino")</f>
        <v>Dino</v>
      </c>
      <c r="E562" s="49" t="str">
        <f ca="1">IFERROR(__xludf.DUMMYFUNCTION("""COMPUTED_VALUE"""),"06680080")</f>
        <v>06680080</v>
      </c>
      <c r="F562" s="48" t="str">
        <f ca="1">IFERROR(__xludf.DUMMYFUNCTION("""COMPUTED_VALUE"""),"COLMAR AJE")</f>
        <v>COLMAR AJE</v>
      </c>
      <c r="G562" s="50" t="str">
        <f ca="1">IFERROR(__xludf.DUMMYFUNCTION("""COMPUTED_VALUE"""),"CD68")</f>
        <v>CD68</v>
      </c>
      <c r="H562" s="50" t="str">
        <f ca="1">IFERROR(__xludf.DUMMYFUNCTION("""COMPUTED_VALUE"""),"actif")</f>
        <v>actif</v>
      </c>
    </row>
    <row r="563" spans="1:8" ht="12.75">
      <c r="A563" s="46">
        <f ca="1">IFERROR(__xludf.DUMMYFUNCTION("""COMPUTED_VALUE"""),551)</f>
        <v>551</v>
      </c>
      <c r="B563" s="65" t="str">
        <f ca="1">IFERROR(__xludf.DUMMYFUNCTION("""COMPUTED_VALUE"""),"5434011")</f>
        <v>5434011</v>
      </c>
      <c r="C563" s="48" t="str">
        <f ca="1">IFERROR(__xludf.DUMMYFUNCTION("""COMPUTED_VALUE"""),"SMOLARECK")</f>
        <v>SMOLARECK</v>
      </c>
      <c r="D563" s="48" t="str">
        <f ca="1">IFERROR(__xludf.DUMMYFUNCTION("""COMPUTED_VALUE"""),"Marie Claire")</f>
        <v>Marie Claire</v>
      </c>
      <c r="E563" s="49" t="str">
        <f ca="1">IFERROR(__xludf.DUMMYFUNCTION("""COMPUTED_VALUE"""),"06540020")</f>
        <v>06540020</v>
      </c>
      <c r="F563" s="48" t="str">
        <f ca="1">IFERROR(__xludf.DUMMYFUNCTION("""COMPUTED_VALUE"""),"DOMBASLE STT")</f>
        <v>DOMBASLE STT</v>
      </c>
      <c r="G563" s="50" t="str">
        <f ca="1">IFERROR(__xludf.DUMMYFUNCTION("""COMPUTED_VALUE"""),"CD54")</f>
        <v>CD54</v>
      </c>
      <c r="H563" s="50" t="str">
        <f ca="1">IFERROR(__xludf.DUMMYFUNCTION("""COMPUTED_VALUE"""),"actif")</f>
        <v>actif</v>
      </c>
    </row>
    <row r="564" spans="1:8" ht="12.75">
      <c r="A564" s="46">
        <f ca="1">IFERROR(__xludf.DUMMYFUNCTION("""COMPUTED_VALUE"""),552)</f>
        <v>552</v>
      </c>
      <c r="B564" s="65" t="str">
        <f ca="1">IFERROR(__xludf.DUMMYFUNCTION("""COMPUTED_VALUE"""),"08253")</f>
        <v>08253</v>
      </c>
      <c r="C564" s="48" t="str">
        <f ca="1">IFERROR(__xludf.DUMMYFUNCTION("""COMPUTED_VALUE"""),"SOILOT")</f>
        <v>SOILOT</v>
      </c>
      <c r="D564" s="48" t="str">
        <f ca="1">IFERROR(__xludf.DUMMYFUNCTION("""COMPUTED_VALUE"""),"Patrick")</f>
        <v>Patrick</v>
      </c>
      <c r="E564" s="49" t="str">
        <f ca="1">IFERROR(__xludf.DUMMYFUNCTION("""COMPUTED_VALUE"""),"06080035")</f>
        <v>06080035</v>
      </c>
      <c r="F564" s="48" t="str">
        <f ca="1">IFERROR(__xludf.DUMMYFUNCTION("""COMPUTED_VALUE"""),"CHARLEVILLE MEZIERES ARDENNES TT")</f>
        <v>CHARLEVILLE MEZIERES ARDENNES TT</v>
      </c>
      <c r="G564" s="50" t="str">
        <f ca="1">IFERROR(__xludf.DUMMYFUNCTION("""COMPUTED_VALUE"""),"CD08")</f>
        <v>CD08</v>
      </c>
      <c r="H564" s="50" t="str">
        <f ca="1">IFERROR(__xludf.DUMMYFUNCTION("""COMPUTED_VALUE"""),"actif")</f>
        <v>actif</v>
      </c>
    </row>
    <row r="565" spans="1:8" ht="12.75">
      <c r="A565" s="46">
        <f ca="1">IFERROR(__xludf.DUMMYFUNCTION("""COMPUTED_VALUE"""),553)</f>
        <v>553</v>
      </c>
      <c r="B565" s="65" t="str">
        <f ca="1">IFERROR(__xludf.DUMMYFUNCTION("""COMPUTED_VALUE"""),"8816500")</f>
        <v>8816500</v>
      </c>
      <c r="C565" s="48" t="str">
        <f ca="1">IFERROR(__xludf.DUMMYFUNCTION("""COMPUTED_VALUE"""),"SONNEFRAUD")</f>
        <v>SONNEFRAUD</v>
      </c>
      <c r="D565" s="48" t="str">
        <f ca="1">IFERROR(__xludf.DUMMYFUNCTION("""COMPUTED_VALUE"""),"Emilie")</f>
        <v>Emilie</v>
      </c>
      <c r="E565" s="49" t="str">
        <f ca="1">IFERROR(__xludf.DUMMYFUNCTION("""COMPUTED_VALUE"""),"06880010")</f>
        <v>06880010</v>
      </c>
      <c r="F565" s="48" t="str">
        <f ca="1">IFERROR(__xludf.DUMMYFUNCTION("""COMPUTED_VALUE"""),"SAINT DIE SRDTT")</f>
        <v>SAINT DIE SRDTT</v>
      </c>
      <c r="G565" s="50" t="str">
        <f ca="1">IFERROR(__xludf.DUMMYFUNCTION("""COMPUTED_VALUE"""),"CD88")</f>
        <v>CD88</v>
      </c>
      <c r="H565" s="50" t="str">
        <f ca="1">IFERROR(__xludf.DUMMYFUNCTION("""COMPUTED_VALUE"""),"inactivité 3ème année")</f>
        <v>inactivité 3ème année</v>
      </c>
    </row>
    <row r="566" spans="1:8" ht="12.75">
      <c r="A566" s="46">
        <f ca="1">IFERROR(__xludf.DUMMYFUNCTION("""COMPUTED_VALUE"""),554)</f>
        <v>554</v>
      </c>
      <c r="B566" s="65" t="str">
        <f ca="1">IFERROR(__xludf.DUMMYFUNCTION("""COMPUTED_VALUE"""),"8816287")</f>
        <v>8816287</v>
      </c>
      <c r="C566" s="48" t="str">
        <f ca="1">IFERROR(__xludf.DUMMYFUNCTION("""COMPUTED_VALUE"""),"SONNEFRAUD")</f>
        <v>SONNEFRAUD</v>
      </c>
      <c r="D566" s="48" t="str">
        <f ca="1">IFERROR(__xludf.DUMMYFUNCTION("""COMPUTED_VALUE"""),"Laurent")</f>
        <v>Laurent</v>
      </c>
      <c r="E566" s="49" t="str">
        <f ca="1">IFERROR(__xludf.DUMMYFUNCTION("""COMPUTED_VALUE"""),"06880010")</f>
        <v>06880010</v>
      </c>
      <c r="F566" s="48" t="str">
        <f ca="1">IFERROR(__xludf.DUMMYFUNCTION("""COMPUTED_VALUE"""),"SAINT DIE SRDTT")</f>
        <v>SAINT DIE SRDTT</v>
      </c>
      <c r="G566" s="50" t="str">
        <f ca="1">IFERROR(__xludf.DUMMYFUNCTION("""COMPUTED_VALUE"""),"CD88")</f>
        <v>CD88</v>
      </c>
      <c r="H566" s="50" t="str">
        <f ca="1">IFERROR(__xludf.DUMMYFUNCTION("""COMPUTED_VALUE"""),"inactivité 3ème année")</f>
        <v>inactivité 3ème année</v>
      </c>
    </row>
    <row r="567" spans="1:8" ht="12.75">
      <c r="A567" s="46">
        <f ca="1">IFERROR(__xludf.DUMMYFUNCTION("""COMPUTED_VALUE"""),555)</f>
        <v>555</v>
      </c>
      <c r="B567" s="65" t="str">
        <f ca="1">IFERROR(__xludf.DUMMYFUNCTION("""COMPUTED_VALUE"""),"5110435")</f>
        <v>5110435</v>
      </c>
      <c r="C567" s="48" t="str">
        <f ca="1">IFERROR(__xludf.DUMMYFUNCTION("""COMPUTED_VALUE"""),"SOUCHON")</f>
        <v>SOUCHON</v>
      </c>
      <c r="D567" s="48" t="str">
        <f ca="1">IFERROR(__xludf.DUMMYFUNCTION("""COMPUTED_VALUE"""),"Pierre-Francois")</f>
        <v>Pierre-Francois</v>
      </c>
      <c r="E567" s="49" t="str">
        <f ca="1">IFERROR(__xludf.DUMMYFUNCTION("""COMPUTED_VALUE"""),"06510107")</f>
        <v>06510107</v>
      </c>
      <c r="F567" s="48" t="str">
        <f ca="1">IFERROR(__xludf.DUMMYFUNCTION("""COMPUTED_VALUE"""),"GUEUX TINQUEUX ASTT")</f>
        <v>GUEUX TINQUEUX ASTT</v>
      </c>
      <c r="G567" s="50" t="str">
        <f ca="1">IFERROR(__xludf.DUMMYFUNCTION("""COMPUTED_VALUE"""),"CD51")</f>
        <v>CD51</v>
      </c>
      <c r="H567" s="50" t="str">
        <f ca="1">IFERROR(__xludf.DUMMYFUNCTION("""COMPUTED_VALUE"""),"inactivité 1ère année")</f>
        <v>inactivité 1ère année</v>
      </c>
    </row>
    <row r="568" spans="1:8" ht="12.75">
      <c r="A568" s="46">
        <f ca="1">IFERROR(__xludf.DUMMYFUNCTION("""COMPUTED_VALUE"""),556)</f>
        <v>556</v>
      </c>
      <c r="B568" s="65" t="str">
        <f ca="1">IFERROR(__xludf.DUMMYFUNCTION("""COMPUTED_VALUE"""),"543136")</f>
        <v>543136</v>
      </c>
      <c r="C568" s="48" t="str">
        <f ca="1">IFERROR(__xludf.DUMMYFUNCTION("""COMPUTED_VALUE"""),"SOUDANT")</f>
        <v>SOUDANT</v>
      </c>
      <c r="D568" s="48" t="str">
        <f ca="1">IFERROR(__xludf.DUMMYFUNCTION("""COMPUTED_VALUE"""),"Claude")</f>
        <v>Claude</v>
      </c>
      <c r="E568" s="49" t="str">
        <f ca="1">IFERROR(__xludf.DUMMYFUNCTION("""COMPUTED_VALUE"""),"06540115")</f>
        <v>06540115</v>
      </c>
      <c r="F568" s="48" t="str">
        <f ca="1">IFERROR(__xludf.DUMMYFUNCTION("""COMPUTED_VALUE"""),"HERIMENIL T.T.")</f>
        <v>HERIMENIL T.T.</v>
      </c>
      <c r="G568" s="50" t="str">
        <f ca="1">IFERROR(__xludf.DUMMYFUNCTION("""COMPUTED_VALUE"""),"CD54")</f>
        <v>CD54</v>
      </c>
      <c r="H568" s="50" t="str">
        <f ca="1">IFERROR(__xludf.DUMMYFUNCTION("""COMPUTED_VALUE"""),"actif")</f>
        <v>actif</v>
      </c>
    </row>
    <row r="569" spans="1:8" ht="12.75">
      <c r="A569" s="46">
        <f ca="1">IFERROR(__xludf.DUMMYFUNCTION("""COMPUTED_VALUE"""),557)</f>
        <v>557</v>
      </c>
      <c r="B569" s="65" t="str">
        <f ca="1">IFERROR(__xludf.DUMMYFUNCTION("""COMPUTED_VALUE"""),"5413827")</f>
        <v>5413827</v>
      </c>
      <c r="C569" s="48" t="str">
        <f ca="1">IFERROR(__xludf.DUMMYFUNCTION("""COMPUTED_VALUE"""),"SOUDANT")</f>
        <v>SOUDANT</v>
      </c>
      <c r="D569" s="48" t="str">
        <f ca="1">IFERROR(__xludf.DUMMYFUNCTION("""COMPUTED_VALUE"""),"Mikael")</f>
        <v>Mikael</v>
      </c>
      <c r="E569" s="49" t="str">
        <f ca="1">IFERROR(__xludf.DUMMYFUNCTION("""COMPUTED_VALUE"""),"06540115")</f>
        <v>06540115</v>
      </c>
      <c r="F569" s="48" t="str">
        <f ca="1">IFERROR(__xludf.DUMMYFUNCTION("""COMPUTED_VALUE"""),"HERIMENIL T.T.")</f>
        <v>HERIMENIL T.T.</v>
      </c>
      <c r="G569" s="50" t="str">
        <f ca="1">IFERROR(__xludf.DUMMYFUNCTION("""COMPUTED_VALUE"""),"CD54")</f>
        <v>CD54</v>
      </c>
      <c r="H569" s="50" t="str">
        <f ca="1">IFERROR(__xludf.DUMMYFUNCTION("""COMPUTED_VALUE"""),"inactivité 2ème année")</f>
        <v>inactivité 2ème année</v>
      </c>
    </row>
    <row r="570" spans="1:8" ht="12.75">
      <c r="A570" s="46">
        <f ca="1">IFERROR(__xludf.DUMMYFUNCTION("""COMPUTED_VALUE"""),558)</f>
        <v>558</v>
      </c>
      <c r="B570" s="65" t="str">
        <f ca="1">IFERROR(__xludf.DUMMYFUNCTION("""COMPUTED_VALUE"""),"104511")</f>
        <v>104511</v>
      </c>
      <c r="C570" s="48" t="str">
        <f ca="1">IFERROR(__xludf.DUMMYFUNCTION("""COMPUTED_VALUE"""),"SOUVERAIN")</f>
        <v>SOUVERAIN</v>
      </c>
      <c r="D570" s="48" t="str">
        <f ca="1">IFERROR(__xludf.DUMMYFUNCTION("""COMPUTED_VALUE"""),"Thierry")</f>
        <v>Thierry</v>
      </c>
      <c r="E570" s="49" t="str">
        <f ca="1">IFERROR(__xludf.DUMMYFUNCTION("""COMPUTED_VALUE"""),"06100004")</f>
        <v>06100004</v>
      </c>
      <c r="F570" s="48" t="str">
        <f ca="1">IFERROR(__xludf.DUMMYFUNCTION("""COMPUTED_VALUE"""),"MOUSSEY CS")</f>
        <v>MOUSSEY CS</v>
      </c>
      <c r="G570" s="50" t="str">
        <f ca="1">IFERROR(__xludf.DUMMYFUNCTION("""COMPUTED_VALUE"""),"CD10")</f>
        <v>CD10</v>
      </c>
      <c r="H570" s="50" t="str">
        <f ca="1">IFERROR(__xludf.DUMMYFUNCTION("""COMPUTED_VALUE"""),"inactivité 1ère année")</f>
        <v>inactivité 1ère année</v>
      </c>
    </row>
    <row r="571" spans="1:8" ht="12.75">
      <c r="A571" s="46">
        <f ca="1">IFERROR(__xludf.DUMMYFUNCTION("""COMPUTED_VALUE"""),559)</f>
        <v>559</v>
      </c>
      <c r="B571" s="65" t="str">
        <f ca="1">IFERROR(__xludf.DUMMYFUNCTION("""COMPUTED_VALUE"""),"674850")</f>
        <v>674850</v>
      </c>
      <c r="C571" s="48" t="str">
        <f ca="1">IFERROR(__xludf.DUMMYFUNCTION("""COMPUTED_VALUE"""),"SPERANDIO")</f>
        <v>SPERANDIO</v>
      </c>
      <c r="D571" s="48" t="str">
        <f ca="1">IFERROR(__xludf.DUMMYFUNCTION("""COMPUTED_VALUE"""),"Louis")</f>
        <v>Louis</v>
      </c>
      <c r="E571" s="49" t="str">
        <f ca="1">IFERROR(__xludf.DUMMYFUNCTION("""COMPUTED_VALUE"""),"06670261")</f>
        <v>06670261</v>
      </c>
      <c r="F571" s="48" t="str">
        <f ca="1">IFERROR(__xludf.DUMMYFUNCTION("""COMPUTED_VALUE"""),"Avenir KOCHERSBERG TT")</f>
        <v>Avenir KOCHERSBERG TT</v>
      </c>
      <c r="G571" s="50" t="str">
        <f ca="1">IFERROR(__xludf.DUMMYFUNCTION("""COMPUTED_VALUE"""),"CD67")</f>
        <v>CD67</v>
      </c>
      <c r="H571" s="50" t="str">
        <f ca="1">IFERROR(__xludf.DUMMYFUNCTION("""COMPUTED_VALUE"""),"actif")</f>
        <v>actif</v>
      </c>
    </row>
    <row r="572" spans="1:8" ht="12.75">
      <c r="A572" s="46">
        <f ca="1">IFERROR(__xludf.DUMMYFUNCTION("""COMPUTED_VALUE"""),560)</f>
        <v>560</v>
      </c>
      <c r="B572" s="65" t="str">
        <f ca="1">IFERROR(__xludf.DUMMYFUNCTION("""COMPUTED_VALUE"""),"68124")</f>
        <v>68124</v>
      </c>
      <c r="C572" s="48" t="str">
        <f ca="1">IFERROR(__xludf.DUMMYFUNCTION("""COMPUTED_VALUE"""),"SPIECKER")</f>
        <v>SPIECKER</v>
      </c>
      <c r="D572" s="48" t="str">
        <f ca="1">IFERROR(__xludf.DUMMYFUNCTION("""COMPUTED_VALUE"""),"Claude")</f>
        <v>Claude</v>
      </c>
      <c r="E572" s="49" t="str">
        <f ca="1">IFERROR(__xludf.DUMMYFUNCTION("""COMPUTED_VALUE"""),"06680004")</f>
        <v>06680004</v>
      </c>
      <c r="F572" s="48" t="str">
        <f ca="1">IFERROR(__xludf.DUMMYFUNCTION("""COMPUTED_VALUE"""),"COLMAR MJC")</f>
        <v>COLMAR MJC</v>
      </c>
      <c r="G572" s="50" t="str">
        <f ca="1">IFERROR(__xludf.DUMMYFUNCTION("""COMPUTED_VALUE"""),"CD68")</f>
        <v>CD68</v>
      </c>
      <c r="H572" s="50" t="str">
        <f ca="1">IFERROR(__xludf.DUMMYFUNCTION("""COMPUTED_VALUE"""),"actif")</f>
        <v>actif</v>
      </c>
    </row>
    <row r="573" spans="1:8" ht="12.75">
      <c r="A573" s="46">
        <f ca="1">IFERROR(__xludf.DUMMYFUNCTION("""COMPUTED_VALUE"""),561)</f>
        <v>561</v>
      </c>
      <c r="B573" s="65" t="str">
        <f ca="1">IFERROR(__xludf.DUMMYFUNCTION("""COMPUTED_VALUE"""),"885790")</f>
        <v>885790</v>
      </c>
      <c r="C573" s="48" t="str">
        <f ca="1">IFERROR(__xludf.DUMMYFUNCTION("""COMPUTED_VALUE"""),"STARK")</f>
        <v>STARK</v>
      </c>
      <c r="D573" s="48" t="str">
        <f ca="1">IFERROR(__xludf.DUMMYFUNCTION("""COMPUTED_VALUE"""),"Vincent")</f>
        <v>Vincent</v>
      </c>
      <c r="E573" s="49" t="str">
        <f ca="1">IFERROR(__xludf.DUMMYFUNCTION("""COMPUTED_VALUE"""),"06880066")</f>
        <v>06880066</v>
      </c>
      <c r="F573" s="48" t="str">
        <f ca="1">IFERROR(__xludf.DUMMYFUNCTION("""COMPUTED_VALUE"""),"ELOYES C.L.L.T.T.")</f>
        <v>ELOYES C.L.L.T.T.</v>
      </c>
      <c r="G573" s="50" t="str">
        <f ca="1">IFERROR(__xludf.DUMMYFUNCTION("""COMPUTED_VALUE"""),"CD88")</f>
        <v>CD88</v>
      </c>
      <c r="H573" s="50" t="str">
        <f ca="1">IFERROR(__xludf.DUMMYFUNCTION("""COMPUTED_VALUE"""),"inactivité 1ère année")</f>
        <v>inactivité 1ère année</v>
      </c>
    </row>
    <row r="574" spans="1:8" ht="12.75">
      <c r="A574" s="46">
        <f ca="1">IFERROR(__xludf.DUMMYFUNCTION("""COMPUTED_VALUE"""),562)</f>
        <v>562</v>
      </c>
      <c r="B574" s="65" t="str">
        <f ca="1">IFERROR(__xludf.DUMMYFUNCTION("""COMPUTED_VALUE"""),"5730406")</f>
        <v>5730406</v>
      </c>
      <c r="C574" s="48" t="str">
        <f ca="1">IFERROR(__xludf.DUMMYFUNCTION("""COMPUTED_VALUE"""),"STAUDT")</f>
        <v>STAUDT</v>
      </c>
      <c r="D574" s="48" t="str">
        <f ca="1">IFERROR(__xludf.DUMMYFUNCTION("""COMPUTED_VALUE"""),"Patrick")</f>
        <v>Patrick</v>
      </c>
      <c r="E574" s="49" t="str">
        <f ca="1">IFERROR(__xludf.DUMMYFUNCTION("""COMPUTED_VALUE"""),"06570019")</f>
        <v>06570019</v>
      </c>
      <c r="F574" s="48" t="str">
        <f ca="1">IFERROR(__xludf.DUMMYFUNCTION("""COMPUTED_VALUE"""),"SAINT AVOLD C.T.T.")</f>
        <v>SAINT AVOLD C.T.T.</v>
      </c>
      <c r="G574" s="50" t="str">
        <f ca="1">IFERROR(__xludf.DUMMYFUNCTION("""COMPUTED_VALUE"""),"CD57")</f>
        <v>CD57</v>
      </c>
      <c r="H574" s="50" t="str">
        <f ca="1">IFERROR(__xludf.DUMMYFUNCTION("""COMPUTED_VALUE"""),"actif")</f>
        <v>actif</v>
      </c>
    </row>
    <row r="575" spans="1:8" ht="12.75">
      <c r="A575" s="46">
        <f ca="1">IFERROR(__xludf.DUMMYFUNCTION("""COMPUTED_VALUE"""),563)</f>
        <v>563</v>
      </c>
      <c r="B575" s="65" t="str">
        <f ca="1">IFERROR(__xludf.DUMMYFUNCTION("""COMPUTED_VALUE"""),"5422994")</f>
        <v>5422994</v>
      </c>
      <c r="C575" s="48" t="str">
        <f ca="1">IFERROR(__xludf.DUMMYFUNCTION("""COMPUTED_VALUE"""),"STEFFAN")</f>
        <v>STEFFAN</v>
      </c>
      <c r="D575" s="67" t="str">
        <f ca="1">IFERROR(__xludf.DUMMYFUNCTION("""COMPUTED_VALUE"""),"Denis")</f>
        <v>Denis</v>
      </c>
      <c r="E575" s="69" t="str">
        <f ca="1">IFERROR(__xludf.DUMMYFUNCTION("""COMPUTED_VALUE"""),"06540187")</f>
        <v>06540187</v>
      </c>
      <c r="F575" s="68" t="str">
        <f ca="1">IFERROR(__xludf.DUMMYFUNCTION("""COMPUTED_VALUE"""),"CHAMPIGNEULLES Tennis de Table")</f>
        <v>CHAMPIGNEULLES Tennis de Table</v>
      </c>
      <c r="G575" s="50" t="str">
        <f ca="1">IFERROR(__xludf.DUMMYFUNCTION("""COMPUTED_VALUE"""),"CD54")</f>
        <v>CD54</v>
      </c>
      <c r="H575" s="50" t="str">
        <f ca="1">IFERROR(__xludf.DUMMYFUNCTION("""COMPUTED_VALUE"""),"inactivité 2ème année")</f>
        <v>inactivité 2ème année</v>
      </c>
    </row>
    <row r="576" spans="1:8" ht="12.75">
      <c r="A576" s="46">
        <f ca="1">IFERROR(__xludf.DUMMYFUNCTION("""COMPUTED_VALUE"""),564)</f>
        <v>564</v>
      </c>
      <c r="B576" s="65" t="str">
        <f ca="1">IFERROR(__xludf.DUMMYFUNCTION("""COMPUTED_VALUE"""),"0813006")</f>
        <v>0813006</v>
      </c>
      <c r="C576" s="48" t="str">
        <f ca="1">IFERROR(__xludf.DUMMYFUNCTION("""COMPUTED_VALUE"""),"STEINER")</f>
        <v>STEINER</v>
      </c>
      <c r="D576" s="48" t="str">
        <f ca="1">IFERROR(__xludf.DUMMYFUNCTION("""COMPUTED_VALUE"""),"Eliott")</f>
        <v>Eliott</v>
      </c>
      <c r="E576" s="49" t="str">
        <f ca="1">IFERROR(__xludf.DUMMYFUNCTION("""COMPUTED_VALUE"""),"06080035")</f>
        <v>06080035</v>
      </c>
      <c r="F576" s="48" t="str">
        <f ca="1">IFERROR(__xludf.DUMMYFUNCTION("""COMPUTED_VALUE"""),"CHARLEVILLE MEZIERES ARDENNES TT")</f>
        <v>CHARLEVILLE MEZIERES ARDENNES TT</v>
      </c>
      <c r="G576" s="50" t="str">
        <f ca="1">IFERROR(__xludf.DUMMYFUNCTION("""COMPUTED_VALUE"""),"CD08")</f>
        <v>CD08</v>
      </c>
      <c r="H576" s="50" t="str">
        <f ca="1">IFERROR(__xludf.DUMMYFUNCTION("""COMPUTED_VALUE"""),"actif")</f>
        <v>actif</v>
      </c>
    </row>
    <row r="577" spans="1:8" ht="12.75">
      <c r="A577" s="46">
        <f ca="1">IFERROR(__xludf.DUMMYFUNCTION("""COMPUTED_VALUE"""),565)</f>
        <v>565</v>
      </c>
      <c r="B577" s="65" t="str">
        <f ca="1">IFERROR(__xludf.DUMMYFUNCTION("""COMPUTED_VALUE"""),"6724878")</f>
        <v>6724878</v>
      </c>
      <c r="C577" s="48" t="str">
        <f ca="1">IFERROR(__xludf.DUMMYFUNCTION("""COMPUTED_VALUE"""),"STEPHAN")</f>
        <v>STEPHAN</v>
      </c>
      <c r="D577" s="48" t="str">
        <f ca="1">IFERROR(__xludf.DUMMYFUNCTION("""COMPUTED_VALUE"""),"Aline")</f>
        <v>Aline</v>
      </c>
      <c r="E577" s="49" t="str">
        <f ca="1">IFERROR(__xludf.DUMMYFUNCTION("""COMPUTED_VALUE"""),"06670045")</f>
        <v>06670045</v>
      </c>
      <c r="F577" s="48" t="str">
        <f ca="1">IFERROR(__xludf.DUMMYFUNCTION("""COMPUTED_VALUE"""),"STRASBOURG RC")</f>
        <v>STRASBOURG RC</v>
      </c>
      <c r="G577" s="50" t="str">
        <f ca="1">IFERROR(__xludf.DUMMYFUNCTION("""COMPUTED_VALUE"""),"CD67")</f>
        <v>CD67</v>
      </c>
      <c r="H577" s="50" t="str">
        <f ca="1">IFERROR(__xludf.DUMMYFUNCTION("""COMPUTED_VALUE"""),"actif")</f>
        <v>actif</v>
      </c>
    </row>
    <row r="578" spans="1:8" ht="12.75">
      <c r="A578" s="46">
        <f ca="1">IFERROR(__xludf.DUMMYFUNCTION("""COMPUTED_VALUE"""),566)</f>
        <v>566</v>
      </c>
      <c r="B578" s="65" t="str">
        <f ca="1">IFERROR(__xludf.DUMMYFUNCTION("""COMPUTED_VALUE"""),"8811261")</f>
        <v>8811261</v>
      </c>
      <c r="C578" s="48" t="str">
        <f ca="1">IFERROR(__xludf.DUMMYFUNCTION("""COMPUTED_VALUE"""),"STOCARD")</f>
        <v>STOCARD</v>
      </c>
      <c r="D578" s="48" t="str">
        <f ca="1">IFERROR(__xludf.DUMMYFUNCTION("""COMPUTED_VALUE"""),"Alban")</f>
        <v>Alban</v>
      </c>
      <c r="E578" s="49" t="str">
        <f ca="1">IFERROR(__xludf.DUMMYFUNCTION("""COMPUTED_VALUE"""),"06880002")</f>
        <v>06880002</v>
      </c>
      <c r="F578" s="48" t="str">
        <f ca="1">IFERROR(__xludf.DUMMYFUNCTION("""COMPUTED_VALUE"""),"ANOULD Cercle Pongiste")</f>
        <v>ANOULD Cercle Pongiste</v>
      </c>
      <c r="G578" s="50" t="str">
        <f ca="1">IFERROR(__xludf.DUMMYFUNCTION("""COMPUTED_VALUE"""),"CD88")</f>
        <v>CD88</v>
      </c>
      <c r="H578" s="50" t="str">
        <f ca="1">IFERROR(__xludf.DUMMYFUNCTION("""COMPUTED_VALUE"""),"inactivité 3ème année")</f>
        <v>inactivité 3ème année</v>
      </c>
    </row>
    <row r="579" spans="1:8" ht="12.75">
      <c r="A579" s="46">
        <f ca="1">IFERROR(__xludf.DUMMYFUNCTION("""COMPUTED_VALUE"""),567)</f>
        <v>567</v>
      </c>
      <c r="B579" s="65" t="str">
        <f ca="1">IFERROR(__xludf.DUMMYFUNCTION("""COMPUTED_VALUE"""),"217169")</f>
        <v>217169</v>
      </c>
      <c r="C579" s="48" t="str">
        <f ca="1">IFERROR(__xludf.DUMMYFUNCTION("""COMPUTED_VALUE"""),"STOCK")</f>
        <v>STOCK</v>
      </c>
      <c r="D579" s="48" t="str">
        <f ca="1">IFERROR(__xludf.DUMMYFUNCTION("""COMPUTED_VALUE"""),"Jerome")</f>
        <v>Jerome</v>
      </c>
      <c r="E579" s="49" t="str">
        <f ca="1">IFERROR(__xludf.DUMMYFUNCTION("""COMPUTED_VALUE"""),"06570190")</f>
        <v>06570190</v>
      </c>
      <c r="F579" s="48" t="str">
        <f ca="1">IFERROR(__xludf.DUMMYFUNCTION("""COMPUTED_VALUE"""),"METZ Tennis de Table")</f>
        <v>METZ Tennis de Table</v>
      </c>
      <c r="G579" s="50" t="str">
        <f ca="1">IFERROR(__xludf.DUMMYFUNCTION("""COMPUTED_VALUE"""),"CD57")</f>
        <v>CD57</v>
      </c>
      <c r="H579" s="50" t="str">
        <f ca="1">IFERROR(__xludf.DUMMYFUNCTION("""COMPUTED_VALUE"""),"actif")</f>
        <v>actif</v>
      </c>
    </row>
    <row r="580" spans="1:8" ht="12.75">
      <c r="A580" s="46">
        <f ca="1">IFERROR(__xludf.DUMMYFUNCTION("""COMPUTED_VALUE"""),568)</f>
        <v>568</v>
      </c>
      <c r="B580" s="65" t="str">
        <f ca="1">IFERROR(__xludf.DUMMYFUNCTION("""COMPUTED_VALUE"""),"673217")</f>
        <v>673217</v>
      </c>
      <c r="C580" s="48" t="str">
        <f ca="1">IFERROR(__xludf.DUMMYFUNCTION("""COMPUTED_VALUE"""),"STOFFEL")</f>
        <v>STOFFEL</v>
      </c>
      <c r="D580" s="48" t="str">
        <f ca="1">IFERROR(__xludf.DUMMYFUNCTION("""COMPUTED_VALUE"""),"Corinne")</f>
        <v>Corinne</v>
      </c>
      <c r="E580" s="49" t="str">
        <f ca="1">IFERROR(__xludf.DUMMYFUNCTION("""COMPUTED_VALUE"""),"06670160")</f>
        <v>06670160</v>
      </c>
      <c r="F580" s="48" t="str">
        <f ca="1">IFERROR(__xludf.DUMMYFUNCTION("""COMPUTED_VALUE"""),"T.T.Haguenau Wissembourg")</f>
        <v>T.T.Haguenau Wissembourg</v>
      </c>
      <c r="G580" s="50" t="str">
        <f ca="1">IFERROR(__xludf.DUMMYFUNCTION("""COMPUTED_VALUE"""),"CD67")</f>
        <v>CD67</v>
      </c>
      <c r="H580" s="50" t="str">
        <f ca="1">IFERROR(__xludf.DUMMYFUNCTION("""COMPUTED_VALUE"""),"actif")</f>
        <v>actif</v>
      </c>
    </row>
    <row r="581" spans="1:8" ht="12.75">
      <c r="A581" s="46">
        <f ca="1">IFERROR(__xludf.DUMMYFUNCTION("""COMPUTED_VALUE"""),569)</f>
        <v>569</v>
      </c>
      <c r="B581" s="65" t="str">
        <f ca="1">IFERROR(__xludf.DUMMYFUNCTION("""COMPUTED_VALUE"""),"102330")</f>
        <v>102330</v>
      </c>
      <c r="C581" s="48" t="str">
        <f ca="1">IFERROR(__xludf.DUMMYFUNCTION("""COMPUTED_VALUE"""),"STOLTZ")</f>
        <v>STOLTZ</v>
      </c>
      <c r="D581" s="48" t="str">
        <f ca="1">IFERROR(__xludf.DUMMYFUNCTION("""COMPUTED_VALUE"""),"Roland")</f>
        <v>Roland</v>
      </c>
      <c r="E581" s="49" t="str">
        <f ca="1">IFERROR(__xludf.DUMMYFUNCTION("""COMPUTED_VALUE"""),"06100002")</f>
        <v>06100002</v>
      </c>
      <c r="F581" s="48" t="str">
        <f ca="1">IFERROR(__xludf.DUMMYFUNCTION("""COMPUTED_VALUE"""),"TROYES O.S - NOËS TT")</f>
        <v>TROYES O.S - NOËS TT</v>
      </c>
      <c r="G581" s="50" t="str">
        <f ca="1">IFERROR(__xludf.DUMMYFUNCTION("""COMPUTED_VALUE"""),"CD10")</f>
        <v>CD10</v>
      </c>
      <c r="H581" s="50" t="str">
        <f ca="1">IFERROR(__xludf.DUMMYFUNCTION("""COMPUTED_VALUE"""),"inactivité 3ème année")</f>
        <v>inactivité 3ème année</v>
      </c>
    </row>
    <row r="582" spans="1:8" ht="12.75">
      <c r="A582" s="46">
        <f ca="1">IFERROR(__xludf.DUMMYFUNCTION("""COMPUTED_VALUE"""),570)</f>
        <v>570</v>
      </c>
      <c r="B582" s="65" t="str">
        <f ca="1">IFERROR(__xludf.DUMMYFUNCTION("""COMPUTED_VALUE"""),"0814090")</f>
        <v>0814090</v>
      </c>
      <c r="C582" s="48" t="str">
        <f ca="1">IFERROR(__xludf.DUMMYFUNCTION("""COMPUTED_VALUE"""),"STOME")</f>
        <v>STOME</v>
      </c>
      <c r="D582" s="48" t="str">
        <f ca="1">IFERROR(__xludf.DUMMYFUNCTION("""COMPUTED_VALUE"""),"Mahé")</f>
        <v>Mahé</v>
      </c>
      <c r="E582" s="49" t="str">
        <f ca="1">IFERROR(__xludf.DUMMYFUNCTION("""COMPUTED_VALUE"""),"06080035")</f>
        <v>06080035</v>
      </c>
      <c r="F582" s="48" t="str">
        <f ca="1">IFERROR(__xludf.DUMMYFUNCTION("""COMPUTED_VALUE"""),"CHARLEVILLE MEZIERES ARDENNES TT")</f>
        <v>CHARLEVILLE MEZIERES ARDENNES TT</v>
      </c>
      <c r="G582" s="50" t="str">
        <f ca="1">IFERROR(__xludf.DUMMYFUNCTION("""COMPUTED_VALUE"""),"CD08")</f>
        <v>CD08</v>
      </c>
      <c r="H582" s="50" t="str">
        <f ca="1">IFERROR(__xludf.DUMMYFUNCTION("""COMPUTED_VALUE"""),"actif")</f>
        <v>actif</v>
      </c>
    </row>
    <row r="583" spans="1:8" ht="12.75">
      <c r="A583" s="46">
        <f ca="1">IFERROR(__xludf.DUMMYFUNCTION("""COMPUTED_VALUE"""),571)</f>
        <v>571</v>
      </c>
      <c r="B583" s="65" t="str">
        <f ca="1">IFERROR(__xludf.DUMMYFUNCTION("""COMPUTED_VALUE"""),"571719")</f>
        <v>571719</v>
      </c>
      <c r="C583" s="48" t="str">
        <f ca="1">IFERROR(__xludf.DUMMYFUNCTION("""COMPUTED_VALUE"""),"STREIT")</f>
        <v>STREIT</v>
      </c>
      <c r="D583" s="48" t="str">
        <f ca="1">IFERROR(__xludf.DUMMYFUNCTION("""COMPUTED_VALUE"""),"Pierre")</f>
        <v>Pierre</v>
      </c>
      <c r="E583" s="49" t="str">
        <f ca="1">IFERROR(__xludf.DUMMYFUNCTION("""COMPUTED_VALUE"""),"06570088")</f>
        <v>06570088</v>
      </c>
      <c r="F583" s="48" t="str">
        <f ca="1">IFERROR(__xludf.DUMMYFUNCTION("""COMPUTED_VALUE"""),"CREUTZWALD E.P.")</f>
        <v>CREUTZWALD E.P.</v>
      </c>
      <c r="G583" s="50" t="str">
        <f ca="1">IFERROR(__xludf.DUMMYFUNCTION("""COMPUTED_VALUE"""),"CD57")</f>
        <v>CD57</v>
      </c>
      <c r="H583" t="str">
        <f ca="1">IFERROR(__xludf.DUMMYFUNCTION("""COMPUTED_VALUE"""),"inactivité 3ème année")</f>
        <v>inactivité 3ème année</v>
      </c>
    </row>
    <row r="584" spans="1:8" ht="12.75">
      <c r="A584" s="46">
        <f ca="1">IFERROR(__xludf.DUMMYFUNCTION("""COMPUTED_VALUE"""),572)</f>
        <v>572</v>
      </c>
      <c r="B584" s="65" t="str">
        <f ca="1">IFERROR(__xludf.DUMMYFUNCTION("""COMPUTED_VALUE"""),"681766")</f>
        <v>681766</v>
      </c>
      <c r="C584" s="48" t="str">
        <f ca="1">IFERROR(__xludf.DUMMYFUNCTION("""COMPUTED_VALUE"""),"STROSSER")</f>
        <v>STROSSER</v>
      </c>
      <c r="D584" s="48" t="str">
        <f ca="1">IFERROR(__xludf.DUMMYFUNCTION("""COMPUTED_VALUE"""),"Fabrice")</f>
        <v>Fabrice</v>
      </c>
      <c r="E584" s="49" t="str">
        <f ca="1">IFERROR(__xludf.DUMMYFUNCTION("""COMPUTED_VALUE"""),"06680082")</f>
        <v>06680082</v>
      </c>
      <c r="F584" s="48" t="str">
        <f ca="1">IFERROR(__xludf.DUMMYFUNCTION("""COMPUTED_VALUE"""),"SAINT-LOUIS TT")</f>
        <v>SAINT-LOUIS TT</v>
      </c>
      <c r="G584" s="50" t="str">
        <f ca="1">IFERROR(__xludf.DUMMYFUNCTION("""COMPUTED_VALUE"""),"CD68")</f>
        <v>CD68</v>
      </c>
      <c r="H584" s="50" t="str">
        <f ca="1">IFERROR(__xludf.DUMMYFUNCTION("""COMPUTED_VALUE"""),"inactivité 3ème année")</f>
        <v>inactivité 3ème année</v>
      </c>
    </row>
    <row r="585" spans="1:8" ht="12.75">
      <c r="A585" s="46">
        <f ca="1">IFERROR(__xludf.DUMMYFUNCTION("""COMPUTED_VALUE"""),573)</f>
        <v>573</v>
      </c>
      <c r="B585" s="65" t="str">
        <f ca="1">IFERROR(__xludf.DUMMYFUNCTION("""COMPUTED_VALUE"""),"678162")</f>
        <v>678162</v>
      </c>
      <c r="C585" s="48" t="str">
        <f ca="1">IFERROR(__xludf.DUMMYFUNCTION("""COMPUTED_VALUE"""),"STRUB")</f>
        <v>STRUB</v>
      </c>
      <c r="D585" s="48" t="str">
        <f ca="1">IFERROR(__xludf.DUMMYFUNCTION("""COMPUTED_VALUE"""),"Roland")</f>
        <v>Roland</v>
      </c>
      <c r="E585" s="49" t="str">
        <f ca="1">IFERROR(__xludf.DUMMYFUNCTION("""COMPUTED_VALUE"""),"06670216")</f>
        <v>06670216</v>
      </c>
      <c r="F585" s="48" t="str">
        <f ca="1">IFERROR(__xludf.DUMMYFUNCTION("""COMPUTED_VALUE"""),"HOERDT T.T.")</f>
        <v>HOERDT T.T.</v>
      </c>
      <c r="G585" s="50" t="str">
        <f ca="1">IFERROR(__xludf.DUMMYFUNCTION("""COMPUTED_VALUE"""),"CD67")</f>
        <v>CD67</v>
      </c>
      <c r="H585" s="50" t="str">
        <f ca="1">IFERROR(__xludf.DUMMYFUNCTION("""COMPUTED_VALUE"""),"inactivité 3ème année")</f>
        <v>inactivité 3ème année</v>
      </c>
    </row>
    <row r="586" spans="1:8" ht="12.75">
      <c r="A586" s="46">
        <f ca="1">IFERROR(__xludf.DUMMYFUNCTION("""COMPUTED_VALUE"""),574)</f>
        <v>574</v>
      </c>
      <c r="B586" s="65" t="str">
        <f ca="1">IFERROR(__xludf.DUMMYFUNCTION("""COMPUTED_VALUE"""),"6715980")</f>
        <v>6715980</v>
      </c>
      <c r="C586" s="48" t="str">
        <f ca="1">IFERROR(__xludf.DUMMYFUNCTION("""COMPUTED_VALUE"""),"SULYAN")</f>
        <v>SULYAN</v>
      </c>
      <c r="D586" s="48" t="str">
        <f ca="1">IFERROR(__xludf.DUMMYFUNCTION("""COMPUTED_VALUE"""),"Michel")</f>
        <v>Michel</v>
      </c>
      <c r="E586" s="49" t="str">
        <f ca="1">IFERROR(__xludf.DUMMYFUNCTION("""COMPUTED_VALUE"""),"06670045")</f>
        <v>06670045</v>
      </c>
      <c r="F586" s="48" t="str">
        <f ca="1">IFERROR(__xludf.DUMMYFUNCTION("""COMPUTED_VALUE"""),"STRASBOURG RC")</f>
        <v>STRASBOURG RC</v>
      </c>
      <c r="G586" s="50" t="str">
        <f ca="1">IFERROR(__xludf.DUMMYFUNCTION("""COMPUTED_VALUE"""),"CD67")</f>
        <v>CD67</v>
      </c>
      <c r="H586" s="50" t="str">
        <f ca="1">IFERROR(__xludf.DUMMYFUNCTION("""COMPUTED_VALUE"""),"actif")</f>
        <v>actif</v>
      </c>
    </row>
    <row r="587" spans="1:8" ht="12.75">
      <c r="A587" s="46">
        <f ca="1">IFERROR(__xludf.DUMMYFUNCTION("""COMPUTED_VALUE"""),575)</f>
        <v>575</v>
      </c>
      <c r="B587" s="65" t="str">
        <f ca="1">IFERROR(__xludf.DUMMYFUNCTION("""COMPUTED_VALUE"""),"6715282")</f>
        <v>6715282</v>
      </c>
      <c r="C587" s="48" t="str">
        <f ca="1">IFERROR(__xludf.DUMMYFUNCTION("""COMPUTED_VALUE"""),"TERMOZ")</f>
        <v>TERMOZ</v>
      </c>
      <c r="D587" s="72" t="str">
        <f ca="1">IFERROR(__xludf.DUMMYFUNCTION("""COMPUTED_VALUE"""),"Ryoji")</f>
        <v>Ryoji</v>
      </c>
      <c r="E587" s="73" t="str">
        <f ca="1">IFERROR(__xludf.DUMMYFUNCTION("""COMPUTED_VALUE"""),"06680011")</f>
        <v>06680011</v>
      </c>
      <c r="F587" s="72" t="str">
        <f ca="1">IFERROR(__xludf.DUMMYFUNCTION("""COMPUTED_VALUE"""),"RIXHEIM PPA")</f>
        <v>RIXHEIM PPA</v>
      </c>
      <c r="G587" s="52" t="str">
        <f ca="1">IFERROR(__xludf.DUMMYFUNCTION("""COMPUTED_VALUE"""),"CD68")</f>
        <v>CD68</v>
      </c>
      <c r="H587" s="52" t="str">
        <f ca="1">IFERROR(__xludf.DUMMYFUNCTION("""COMPUTED_VALUE"""),"inactivité 3ème année")</f>
        <v>inactivité 3ème année</v>
      </c>
    </row>
    <row r="588" spans="1:8" ht="12.75">
      <c r="A588" s="46">
        <f ca="1">IFERROR(__xludf.DUMMYFUNCTION("""COMPUTED_VALUE"""),576)</f>
        <v>576</v>
      </c>
      <c r="B588" s="65" t="str">
        <f ca="1">IFERROR(__xludf.DUMMYFUNCTION("""COMPUTED_VALUE"""),"8816343")</f>
        <v>8816343</v>
      </c>
      <c r="C588" s="48" t="str">
        <f ca="1">IFERROR(__xludf.DUMMYFUNCTION("""COMPUTED_VALUE"""),"THELLIER")</f>
        <v>THELLIER</v>
      </c>
      <c r="D588" s="48" t="str">
        <f ca="1">IFERROR(__xludf.DUMMYFUNCTION("""COMPUTED_VALUE"""),"Camille")</f>
        <v>Camille</v>
      </c>
      <c r="E588" s="74" t="str">
        <f ca="1">IFERROR(__xludf.DUMMYFUNCTION("""COMPUTED_VALUE"""),"06880119")</f>
        <v>06880119</v>
      </c>
      <c r="F588" s="72" t="str">
        <f ca="1">IFERROR(__xludf.DUMMYFUNCTION("""COMPUTED_VALUE"""),"CHARMES-VINCEY T.T.")</f>
        <v>CHARMES-VINCEY T.T.</v>
      </c>
      <c r="G588" s="50" t="str">
        <f ca="1">IFERROR(__xludf.DUMMYFUNCTION("""COMPUTED_VALUE"""),"CD88")</f>
        <v>CD88</v>
      </c>
      <c r="H588" s="50" t="str">
        <f ca="1">IFERROR(__xludf.DUMMYFUNCTION("""COMPUTED_VALUE"""),"actif")</f>
        <v>actif</v>
      </c>
    </row>
    <row r="589" spans="1:8" ht="12.75">
      <c r="A589" s="46">
        <f ca="1">IFERROR(__xludf.DUMMYFUNCTION("""COMPUTED_VALUE"""),577)</f>
        <v>577</v>
      </c>
      <c r="B589" s="65" t="str">
        <f ca="1">IFERROR(__xludf.DUMMYFUNCTION("""COMPUTED_VALUE"""),"884968")</f>
        <v>884968</v>
      </c>
      <c r="C589" s="48" t="str">
        <f ca="1">IFERROR(__xludf.DUMMYFUNCTION("""COMPUTED_VALUE"""),"THIRION")</f>
        <v>THIRION</v>
      </c>
      <c r="D589" s="48" t="str">
        <f ca="1">IFERROR(__xludf.DUMMYFUNCTION("""COMPUTED_VALUE"""),"Helene")</f>
        <v>Helene</v>
      </c>
      <c r="E589" s="74" t="str">
        <f ca="1">IFERROR(__xludf.DUMMYFUNCTION("""COMPUTED_VALUE"""),"06880051")</f>
        <v>06880051</v>
      </c>
      <c r="F589" s="72" t="str">
        <f ca="1">IFERROR(__xludf.DUMMYFUNCTION("""COMPUTED_VALUE"""),"Raquette Golbéenne")</f>
        <v>Raquette Golbéenne</v>
      </c>
      <c r="G589" s="50" t="str">
        <f ca="1">IFERROR(__xludf.DUMMYFUNCTION("""COMPUTED_VALUE"""),"CD88")</f>
        <v>CD88</v>
      </c>
      <c r="H589" s="50" t="str">
        <f ca="1">IFERROR(__xludf.DUMMYFUNCTION("""COMPUTED_VALUE"""),"actif")</f>
        <v>actif</v>
      </c>
    </row>
    <row r="590" spans="1:8" ht="12.75">
      <c r="A590" s="46">
        <f ca="1">IFERROR(__xludf.DUMMYFUNCTION("""COMPUTED_VALUE"""),578)</f>
        <v>578</v>
      </c>
      <c r="B590" s="65" t="str">
        <f ca="1">IFERROR(__xludf.DUMMYFUNCTION("""COMPUTED_VALUE"""),"5713856")</f>
        <v>5713856</v>
      </c>
      <c r="C590" s="48" t="str">
        <f ca="1">IFERROR(__xludf.DUMMYFUNCTION("""COMPUTED_VALUE"""),"THOMAS")</f>
        <v>THOMAS</v>
      </c>
      <c r="D590" s="48" t="str">
        <f ca="1">IFERROR(__xludf.DUMMYFUNCTION("""COMPUTED_VALUE"""),"Christian")</f>
        <v>Christian</v>
      </c>
      <c r="E590" s="49" t="str">
        <f ca="1">IFERROR(__xludf.DUMMYFUNCTION("""COMPUTED_VALUE"""),"06570111")</f>
        <v>06570111</v>
      </c>
      <c r="F590" s="48" t="str">
        <f ca="1">IFERROR(__xludf.DUMMYFUNCTION("""COMPUTED_VALUE"""),"SARREBOURG TT")</f>
        <v>SARREBOURG TT</v>
      </c>
      <c r="G590" s="50" t="str">
        <f ca="1">IFERROR(__xludf.DUMMYFUNCTION("""COMPUTED_VALUE"""),"CD57")</f>
        <v>CD57</v>
      </c>
      <c r="H590" s="50" t="str">
        <f ca="1">IFERROR(__xludf.DUMMYFUNCTION("""COMPUTED_VALUE"""),"inactivité 2ème année")</f>
        <v>inactivité 2ème année</v>
      </c>
    </row>
    <row r="591" spans="1:8" ht="12.75">
      <c r="A591" s="46">
        <f ca="1">IFERROR(__xludf.DUMMYFUNCTION("""COMPUTED_VALUE"""),579)</f>
        <v>579</v>
      </c>
      <c r="B591" s="65" t="str">
        <f ca="1">IFERROR(__xludf.DUMMYFUNCTION("""COMPUTED_VALUE"""),"889665")</f>
        <v>889665</v>
      </c>
      <c r="C591" s="48" t="str">
        <f ca="1">IFERROR(__xludf.DUMMYFUNCTION("""COMPUTED_VALUE"""),"THOMAS")</f>
        <v>THOMAS</v>
      </c>
      <c r="D591" s="48" t="str">
        <f ca="1">IFERROR(__xludf.DUMMYFUNCTION("""COMPUTED_VALUE"""),"Jean Paul")</f>
        <v>Jean Paul</v>
      </c>
      <c r="E591" s="49" t="str">
        <f ca="1">IFERROR(__xludf.DUMMYFUNCTION("""COMPUTED_VALUE"""),"06880083")</f>
        <v>06880083</v>
      </c>
      <c r="F591" s="48" t="str">
        <f ca="1">IFERROR(__xludf.DUMMYFUNCTION("""COMPUTED_VALUE"""),"XONRUPT A.S.C.X.L. T.T.")</f>
        <v>XONRUPT A.S.C.X.L. T.T.</v>
      </c>
      <c r="G591" s="50" t="str">
        <f ca="1">IFERROR(__xludf.DUMMYFUNCTION("""COMPUTED_VALUE"""),"CD88")</f>
        <v>CD88</v>
      </c>
      <c r="H591" s="50" t="str">
        <f ca="1">IFERROR(__xludf.DUMMYFUNCTION("""COMPUTED_VALUE"""),"inactivité 3ème année")</f>
        <v>inactivité 3ème année</v>
      </c>
    </row>
    <row r="592" spans="1:8" ht="12.75">
      <c r="A592" s="46">
        <f ca="1">IFERROR(__xludf.DUMMYFUNCTION("""COMPUTED_VALUE"""),580)</f>
        <v>580</v>
      </c>
      <c r="B592" s="65" t="str">
        <f ca="1">IFERROR(__xludf.DUMMYFUNCTION("""COMPUTED_VALUE"""),"10891")</f>
        <v>10891</v>
      </c>
      <c r="C592" s="48" t="str">
        <f ca="1">IFERROR(__xludf.DUMMYFUNCTION("""COMPUTED_VALUE"""),"THOYER")</f>
        <v>THOYER</v>
      </c>
      <c r="D592" s="48" t="str">
        <f ca="1">IFERROR(__xludf.DUMMYFUNCTION("""COMPUTED_VALUE"""),"Jean-Loup")</f>
        <v>Jean-Loup</v>
      </c>
      <c r="E592" s="49" t="str">
        <f ca="1">IFERROR(__xludf.DUMMYFUNCTION("""COMPUTED_VALUE"""),"06100004")</f>
        <v>06100004</v>
      </c>
      <c r="F592" s="48" t="str">
        <f ca="1">IFERROR(__xludf.DUMMYFUNCTION("""COMPUTED_VALUE"""),"MOUSSEY CS")</f>
        <v>MOUSSEY CS</v>
      </c>
      <c r="G592" s="50" t="str">
        <f ca="1">IFERROR(__xludf.DUMMYFUNCTION("""COMPUTED_VALUE"""),"CD10")</f>
        <v>CD10</v>
      </c>
      <c r="H592" s="50" t="str">
        <f ca="1">IFERROR(__xludf.DUMMYFUNCTION("""COMPUTED_VALUE"""),"inactivité 1ère année")</f>
        <v>inactivité 1ère année</v>
      </c>
    </row>
    <row r="593" spans="1:8" ht="12.75">
      <c r="A593" s="46">
        <f ca="1">IFERROR(__xludf.DUMMYFUNCTION("""COMPUTED_VALUE"""),581)</f>
        <v>581</v>
      </c>
      <c r="B593" s="65" t="str">
        <f ca="1">IFERROR(__xludf.DUMMYFUNCTION("""COMPUTED_VALUE"""),"10125")</f>
        <v>10125</v>
      </c>
      <c r="C593" s="48" t="str">
        <f ca="1">IFERROR(__xludf.DUMMYFUNCTION("""COMPUTED_VALUE"""),"THOYER")</f>
        <v>THOYER</v>
      </c>
      <c r="D593" s="48" t="str">
        <f ca="1">IFERROR(__xludf.DUMMYFUNCTION("""COMPUTED_VALUE"""),"Francois")</f>
        <v>Francois</v>
      </c>
      <c r="E593" s="49" t="str">
        <f ca="1">IFERROR(__xludf.DUMMYFUNCTION("""COMPUTED_VALUE"""),"06100004")</f>
        <v>06100004</v>
      </c>
      <c r="F593" s="48" t="str">
        <f ca="1">IFERROR(__xludf.DUMMYFUNCTION("""COMPUTED_VALUE"""),"MOUSSEY CS")</f>
        <v>MOUSSEY CS</v>
      </c>
      <c r="G593" s="50" t="str">
        <f ca="1">IFERROR(__xludf.DUMMYFUNCTION("""COMPUTED_VALUE"""),"CD10")</f>
        <v>CD10</v>
      </c>
      <c r="H593" s="50" t="str">
        <f ca="1">IFERROR(__xludf.DUMMYFUNCTION("""COMPUTED_VALUE"""),"inactivité 1ère année")</f>
        <v>inactivité 1ère année</v>
      </c>
    </row>
    <row r="594" spans="1:8" ht="12.75">
      <c r="A594" s="46">
        <f ca="1">IFERROR(__xludf.DUMMYFUNCTION("""COMPUTED_VALUE"""),582)</f>
        <v>582</v>
      </c>
      <c r="B594" s="65" t="str">
        <f ca="1">IFERROR(__xludf.DUMMYFUNCTION("""COMPUTED_VALUE"""),"089691")</f>
        <v>089691</v>
      </c>
      <c r="C594" s="48" t="str">
        <f ca="1">IFERROR(__xludf.DUMMYFUNCTION("""COMPUTED_VALUE"""),"TISSOT")</f>
        <v>TISSOT</v>
      </c>
      <c r="D594" s="48" t="str">
        <f ca="1">IFERROR(__xludf.DUMMYFUNCTION("""COMPUTED_VALUE"""),"Valerie")</f>
        <v>Valerie</v>
      </c>
      <c r="E594" s="49" t="str">
        <f ca="1">IFERROR(__xludf.DUMMYFUNCTION("""COMPUTED_VALUE"""),"06080082")</f>
        <v>06080082</v>
      </c>
      <c r="F594" s="48" t="str">
        <f ca="1">IFERROR(__xludf.DUMMYFUNCTION("""COMPUTED_VALUE"""),"GLAIRE ASTT")</f>
        <v>GLAIRE ASTT</v>
      </c>
      <c r="G594" s="50" t="str">
        <f ca="1">IFERROR(__xludf.DUMMYFUNCTION("""COMPUTED_VALUE"""),"CD08")</f>
        <v>CD08</v>
      </c>
      <c r="H594" s="50" t="str">
        <f ca="1">IFERROR(__xludf.DUMMYFUNCTION("""COMPUTED_VALUE"""),"inactivité 3ème année")</f>
        <v>inactivité 3ème année</v>
      </c>
    </row>
    <row r="595" spans="1:8" ht="12.75">
      <c r="A595" s="46">
        <f ca="1">IFERROR(__xludf.DUMMYFUNCTION("""COMPUTED_VALUE"""),583)</f>
        <v>583</v>
      </c>
      <c r="B595" s="65" t="str">
        <f ca="1">IFERROR(__xludf.DUMMYFUNCTION("""COMPUTED_VALUE"""),"8813539")</f>
        <v>8813539</v>
      </c>
      <c r="C595" s="48" t="str">
        <f ca="1">IFERROR(__xludf.DUMMYFUNCTION("""COMPUTED_VALUE"""),"TOMASI")</f>
        <v>TOMASI</v>
      </c>
      <c r="D595" s="48" t="str">
        <f ca="1">IFERROR(__xludf.DUMMYFUNCTION("""COMPUTED_VALUE"""),"Herve")</f>
        <v>Herve</v>
      </c>
      <c r="E595" s="49" t="str">
        <f ca="1">IFERROR(__xludf.DUMMYFUNCTION("""COMPUTED_VALUE"""),"06880073")</f>
        <v>06880073</v>
      </c>
      <c r="F595" s="48" t="str">
        <f ca="1">IFERROR(__xludf.DUMMYFUNCTION("""COMPUTED_VALUE"""),"SAINTE MARGUERITE C.T.T.")</f>
        <v>SAINTE MARGUERITE C.T.T.</v>
      </c>
      <c r="G595" s="50" t="str">
        <f ca="1">IFERROR(__xludf.DUMMYFUNCTION("""COMPUTED_VALUE"""),"CD88")</f>
        <v>CD88</v>
      </c>
      <c r="H595" s="50" t="str">
        <f ca="1">IFERROR(__xludf.DUMMYFUNCTION("""COMPUTED_VALUE"""),"inactivité 3ème année")</f>
        <v>inactivité 3ème année</v>
      </c>
    </row>
    <row r="596" spans="1:8" ht="12.75">
      <c r="A596" s="46">
        <f ca="1">IFERROR(__xludf.DUMMYFUNCTION("""COMPUTED_VALUE"""),584)</f>
        <v>584</v>
      </c>
      <c r="B596" s="65" t="str">
        <f ca="1">IFERROR(__xludf.DUMMYFUNCTION("""COMPUTED_VALUE"""),"553102")</f>
        <v>553102</v>
      </c>
      <c r="C596" s="48" t="str">
        <f ca="1">IFERROR(__xludf.DUMMYFUNCTION("""COMPUTED_VALUE"""),"TRELA")</f>
        <v>TRELA</v>
      </c>
      <c r="D596" s="48" t="str">
        <f ca="1">IFERROR(__xludf.DUMMYFUNCTION("""COMPUTED_VALUE"""),"Elvis")</f>
        <v>Elvis</v>
      </c>
      <c r="E596" s="49" t="str">
        <f ca="1">IFERROR(__xludf.DUMMYFUNCTION("""COMPUTED_VALUE"""),"06550005")</f>
        <v>06550005</v>
      </c>
      <c r="F596" s="48" t="str">
        <f ca="1">IFERROR(__xludf.DUMMYFUNCTION("""COMPUTED_VALUE"""),"SAINT MIHIEL P.P.C.")</f>
        <v>SAINT MIHIEL P.P.C.</v>
      </c>
      <c r="G596" s="50" t="str">
        <f ca="1">IFERROR(__xludf.DUMMYFUNCTION("""COMPUTED_VALUE"""),"CD55")</f>
        <v>CD55</v>
      </c>
      <c r="H596" s="50" t="str">
        <f ca="1">IFERROR(__xludf.DUMMYFUNCTION("""COMPUTED_VALUE"""),"inactivité 1ère année")</f>
        <v>inactivité 1ère année</v>
      </c>
    </row>
    <row r="597" spans="1:8" ht="12.75">
      <c r="A597" s="46">
        <f ca="1">IFERROR(__xludf.DUMMYFUNCTION("""COMPUTED_VALUE"""),585)</f>
        <v>585</v>
      </c>
      <c r="B597" s="65" t="str">
        <f ca="1">IFERROR(__xludf.DUMMYFUNCTION("""COMPUTED_VALUE"""),"548436")</f>
        <v>548436</v>
      </c>
      <c r="C597" s="48" t="str">
        <f ca="1">IFERROR(__xludf.DUMMYFUNCTION("""COMPUTED_VALUE"""),"TREMEL")</f>
        <v>TREMEL</v>
      </c>
      <c r="D597" s="48" t="str">
        <f ca="1">IFERROR(__xludf.DUMMYFUNCTION("""COMPUTED_VALUE"""),"Philippe")</f>
        <v>Philippe</v>
      </c>
      <c r="E597" s="49" t="str">
        <f ca="1">IFERROR(__xludf.DUMMYFUNCTION("""COMPUTED_VALUE"""),"06540040")</f>
        <v>06540040</v>
      </c>
      <c r="F597" s="48" t="str">
        <f ca="1">IFERROR(__xludf.DUMMYFUNCTION("""COMPUTED_VALUE"""),"VILLERS LES NANCY C.O.S.")</f>
        <v>VILLERS LES NANCY C.O.S.</v>
      </c>
      <c r="G597" s="50" t="str">
        <f ca="1">IFERROR(__xludf.DUMMYFUNCTION("""COMPUTED_VALUE"""),"CD54")</f>
        <v>CD54</v>
      </c>
      <c r="H597" s="50" t="str">
        <f ca="1">IFERROR(__xludf.DUMMYFUNCTION("""COMPUTED_VALUE"""),"inactivité 2ème année")</f>
        <v>inactivité 2ème année</v>
      </c>
    </row>
    <row r="598" spans="1:8" ht="12.75">
      <c r="A598" s="46">
        <f ca="1">IFERROR(__xludf.DUMMYFUNCTION("""COMPUTED_VALUE"""),586)</f>
        <v>586</v>
      </c>
      <c r="B598" s="65" t="str">
        <f ca="1">IFERROR(__xludf.DUMMYFUNCTION("""COMPUTED_VALUE"""),"8810585")</f>
        <v>8810585</v>
      </c>
      <c r="C598" s="48" t="str">
        <f ca="1">IFERROR(__xludf.DUMMYFUNCTION("""COMPUTED_VALUE"""),"TROUCHOT")</f>
        <v>TROUCHOT</v>
      </c>
      <c r="D598" s="48" t="str">
        <f ca="1">IFERROR(__xludf.DUMMYFUNCTION("""COMPUTED_VALUE"""),"Jerome")</f>
        <v>Jerome</v>
      </c>
      <c r="E598" s="49" t="str">
        <f ca="1">IFERROR(__xludf.DUMMYFUNCTION("""COMPUTED_VALUE"""),"06880138")</f>
        <v>06880138</v>
      </c>
      <c r="F598" s="48" t="str">
        <f ca="1">IFERROR(__xludf.DUMMYFUNCTION("""COMPUTED_VALUE"""),"MONTHUREUX SUR SAONE TT")</f>
        <v>MONTHUREUX SUR SAONE TT</v>
      </c>
      <c r="G598" s="50" t="str">
        <f ca="1">IFERROR(__xludf.DUMMYFUNCTION("""COMPUTED_VALUE"""),"CD88")</f>
        <v>CD88</v>
      </c>
      <c r="H598" s="50" t="str">
        <f ca="1">IFERROR(__xludf.DUMMYFUNCTION("""COMPUTED_VALUE"""),"inactivité 1ère année")</f>
        <v>inactivité 1ère année</v>
      </c>
    </row>
    <row r="599" spans="1:8" ht="12.75">
      <c r="A599" s="46">
        <f ca="1">IFERROR(__xludf.DUMMYFUNCTION("""COMPUTED_VALUE"""),587)</f>
        <v>587</v>
      </c>
      <c r="B599" s="65" t="str">
        <f ca="1">IFERROR(__xludf.DUMMYFUNCTION("""COMPUTED_VALUE"""),"8816525")</f>
        <v>8816525</v>
      </c>
      <c r="C599" s="48" t="str">
        <f ca="1">IFERROR(__xludf.DUMMYFUNCTION("""COMPUTED_VALUE"""),"TROUCHOT")</f>
        <v>TROUCHOT</v>
      </c>
      <c r="D599" s="48" t="str">
        <f ca="1">IFERROR(__xludf.DUMMYFUNCTION("""COMPUTED_VALUE"""),"Aline")</f>
        <v>Aline</v>
      </c>
      <c r="E599" s="49" t="str">
        <f ca="1">IFERROR(__xludf.DUMMYFUNCTION("""COMPUTED_VALUE"""),"06880138")</f>
        <v>06880138</v>
      </c>
      <c r="F599" s="48" t="str">
        <f ca="1">IFERROR(__xludf.DUMMYFUNCTION("""COMPUTED_VALUE"""),"MONTHUREUX SUR SAONE TT")</f>
        <v>MONTHUREUX SUR SAONE TT</v>
      </c>
      <c r="G599" s="50" t="str">
        <f ca="1">IFERROR(__xludf.DUMMYFUNCTION("""COMPUTED_VALUE"""),"CD88")</f>
        <v>CD88</v>
      </c>
      <c r="H599" s="50" t="str">
        <f ca="1">IFERROR(__xludf.DUMMYFUNCTION("""COMPUTED_VALUE"""),"inactivité 1ère année")</f>
        <v>inactivité 1ère année</v>
      </c>
    </row>
    <row r="600" spans="1:8" ht="12.75">
      <c r="A600" s="46">
        <f ca="1">IFERROR(__xludf.DUMMYFUNCTION("""COMPUTED_VALUE"""),588)</f>
        <v>588</v>
      </c>
      <c r="B600" s="65" t="str">
        <f ca="1">IFERROR(__xludf.DUMMYFUNCTION("""COMPUTED_VALUE"""),"5424959")</f>
        <v>5424959</v>
      </c>
      <c r="C600" s="48" t="str">
        <f ca="1">IFERROR(__xludf.DUMMYFUNCTION("""COMPUTED_VALUE"""),"TURBAN")</f>
        <v>TURBAN</v>
      </c>
      <c r="D600" s="48" t="str">
        <f ca="1">IFERROR(__xludf.DUMMYFUNCTION("""COMPUTED_VALUE"""),"Eric")</f>
        <v>Eric</v>
      </c>
      <c r="E600" s="49" t="str">
        <f ca="1">IFERROR(__xludf.DUMMYFUNCTION("""COMPUTED_VALUE"""),"06540040")</f>
        <v>06540040</v>
      </c>
      <c r="F600" s="48" t="str">
        <f ca="1">IFERROR(__xludf.DUMMYFUNCTION("""COMPUTED_VALUE"""),"VILLERS LES NANCY C.O.S.")</f>
        <v>VILLERS LES NANCY C.O.S.</v>
      </c>
      <c r="G600" s="50" t="str">
        <f ca="1">IFERROR(__xludf.DUMMYFUNCTION("""COMPUTED_VALUE"""),"CD54")</f>
        <v>CD54</v>
      </c>
      <c r="H600" s="50" t="str">
        <f ca="1">IFERROR(__xludf.DUMMYFUNCTION("""COMPUTED_VALUE"""),"actif")</f>
        <v>actif</v>
      </c>
    </row>
    <row r="601" spans="1:8" ht="12.75">
      <c r="A601" s="46">
        <f ca="1">IFERROR(__xludf.DUMMYFUNCTION("""COMPUTED_VALUE"""),589)</f>
        <v>589</v>
      </c>
      <c r="B601" s="65" t="str">
        <f ca="1">IFERROR(__xludf.DUMMYFUNCTION("""COMPUTED_VALUE"""),"5416812")</f>
        <v>5416812</v>
      </c>
      <c r="C601" s="48" t="str">
        <f ca="1">IFERROR(__xludf.DUMMYFUNCTION("""COMPUTED_VALUE"""),"TURCK")</f>
        <v>TURCK</v>
      </c>
      <c r="D601" s="48" t="str">
        <f ca="1">IFERROR(__xludf.DUMMYFUNCTION("""COMPUTED_VALUE"""),"Damien")</f>
        <v>Damien</v>
      </c>
      <c r="E601" s="49" t="str">
        <f ca="1">IFERROR(__xludf.DUMMYFUNCTION("""COMPUTED_VALUE"""),"06540047")</f>
        <v>06540047</v>
      </c>
      <c r="F601" s="48" t="str">
        <f ca="1">IFERROR(__xludf.DUMMYFUNCTION("""COMPUTED_VALUE"""),"MALLELOY F.J.E.P.")</f>
        <v>MALLELOY F.J.E.P.</v>
      </c>
      <c r="G601" s="50" t="str">
        <f ca="1">IFERROR(__xludf.DUMMYFUNCTION("""COMPUTED_VALUE"""),"CD54")</f>
        <v>CD54</v>
      </c>
      <c r="H601" s="50" t="str">
        <f ca="1">IFERROR(__xludf.DUMMYFUNCTION("""COMPUTED_VALUE"""),"inactivité 3ème année")</f>
        <v>inactivité 3ème année</v>
      </c>
    </row>
    <row r="602" spans="1:8" ht="12.75">
      <c r="A602" s="46">
        <f ca="1">IFERROR(__xludf.DUMMYFUNCTION("""COMPUTED_VALUE"""),590)</f>
        <v>590</v>
      </c>
      <c r="B602" s="65" t="str">
        <f ca="1">IFERROR(__xludf.DUMMYFUNCTION("""COMPUTED_VALUE"""),"105238")</f>
        <v>105238</v>
      </c>
      <c r="C602" s="48" t="str">
        <f ca="1">IFERROR(__xludf.DUMMYFUNCTION("""COMPUTED_VALUE"""),"TURK")</f>
        <v>TURK</v>
      </c>
      <c r="D602" s="48" t="str">
        <f ca="1">IFERROR(__xludf.DUMMYFUNCTION("""COMPUTED_VALUE"""),"Tristan")</f>
        <v>Tristan</v>
      </c>
      <c r="E602" s="49" t="str">
        <f ca="1">IFERROR(__xludf.DUMMYFUNCTION("""COMPUTED_VALUE"""),"06100016")</f>
        <v>06100016</v>
      </c>
      <c r="F602" s="48" t="str">
        <f ca="1">IFERROR(__xludf.DUMMYFUNCTION("""COMPUTED_VALUE"""),"BAR SUR SEINE FJ")</f>
        <v>BAR SUR SEINE FJ</v>
      </c>
      <c r="G602" s="50" t="str">
        <f ca="1">IFERROR(__xludf.DUMMYFUNCTION("""COMPUTED_VALUE"""),"CD10")</f>
        <v>CD10</v>
      </c>
      <c r="H602" s="50" t="str">
        <f ca="1">IFERROR(__xludf.DUMMYFUNCTION("""COMPUTED_VALUE"""),"inactivité 3ème année")</f>
        <v>inactivité 3ème année</v>
      </c>
    </row>
    <row r="603" spans="1:8" ht="12.75">
      <c r="A603" s="46">
        <f ca="1">IFERROR(__xludf.DUMMYFUNCTION("""COMPUTED_VALUE"""),591)</f>
        <v>591</v>
      </c>
      <c r="B603" s="65" t="str">
        <f ca="1">IFERROR(__xludf.DUMMYFUNCTION("""COMPUTED_VALUE"""),"522211")</f>
        <v>522211</v>
      </c>
      <c r="C603" s="48" t="str">
        <f ca="1">IFERROR(__xludf.DUMMYFUNCTION("""COMPUTED_VALUE"""),"VALLON")</f>
        <v>VALLON</v>
      </c>
      <c r="D603" s="48" t="str">
        <f ca="1">IFERROR(__xludf.DUMMYFUNCTION("""COMPUTED_VALUE"""),"Erick")</f>
        <v>Erick</v>
      </c>
      <c r="E603" s="49" t="str">
        <f ca="1">IFERROR(__xludf.DUMMYFUNCTION("""COMPUTED_VALUE"""),"06520002")</f>
        <v>06520002</v>
      </c>
      <c r="F603" s="48" t="str">
        <f ca="1">IFERROR(__xludf.DUMMYFUNCTION("""COMPUTED_VALUE"""),"CHALINDREY CS")</f>
        <v>CHALINDREY CS</v>
      </c>
      <c r="G603" s="50" t="str">
        <f ca="1">IFERROR(__xludf.DUMMYFUNCTION("""COMPUTED_VALUE"""),"CD52")</f>
        <v>CD52</v>
      </c>
      <c r="H603" s="50" t="str">
        <f ca="1">IFERROR(__xludf.DUMMYFUNCTION("""COMPUTED_VALUE"""),"actif")</f>
        <v>actif</v>
      </c>
    </row>
    <row r="604" spans="1:8" ht="12.75">
      <c r="A604" s="46">
        <f ca="1">IFERROR(__xludf.DUMMYFUNCTION("""COMPUTED_VALUE"""),592)</f>
        <v>592</v>
      </c>
      <c r="B604" s="65" t="str">
        <f ca="1">IFERROR(__xludf.DUMMYFUNCTION("""COMPUTED_VALUE"""),"8812905")</f>
        <v>8812905</v>
      </c>
      <c r="C604" s="48" t="str">
        <f ca="1">IFERROR(__xludf.DUMMYFUNCTION("""COMPUTED_VALUE"""),"VALROFF")</f>
        <v>VALROFF</v>
      </c>
      <c r="D604" s="48" t="str">
        <f ca="1">IFERROR(__xludf.DUMMYFUNCTION("""COMPUTED_VALUE"""),"Juliette")</f>
        <v>Juliette</v>
      </c>
      <c r="E604" s="49" t="str">
        <f ca="1">IFERROR(__xludf.DUMMYFUNCTION("""COMPUTED_VALUE"""),"06880051")</f>
        <v>06880051</v>
      </c>
      <c r="F604" s="48" t="str">
        <f ca="1">IFERROR(__xludf.DUMMYFUNCTION("""COMPUTED_VALUE"""),"Raquette Golbéenne")</f>
        <v>Raquette Golbéenne</v>
      </c>
      <c r="G604" s="50" t="str">
        <f ca="1">IFERROR(__xludf.DUMMYFUNCTION("""COMPUTED_VALUE"""),"CD88")</f>
        <v>CD88</v>
      </c>
      <c r="H604" s="50" t="str">
        <f ca="1">IFERROR(__xludf.DUMMYFUNCTION("""COMPUTED_VALUE"""),"actif")</f>
        <v>actif</v>
      </c>
    </row>
    <row r="605" spans="1:8" ht="12.75">
      <c r="A605" s="46">
        <f ca="1">IFERROR(__xludf.DUMMYFUNCTION("""COMPUTED_VALUE"""),593)</f>
        <v>593</v>
      </c>
      <c r="B605" s="65" t="str">
        <f ca="1">IFERROR(__xludf.DUMMYFUNCTION("""COMPUTED_VALUE"""),"084723")</f>
        <v>084723</v>
      </c>
      <c r="C605" s="48" t="str">
        <f ca="1">IFERROR(__xludf.DUMMYFUNCTION("""COMPUTED_VALUE"""),"VAN COPENOLLE")</f>
        <v>VAN COPENOLLE</v>
      </c>
      <c r="D605" s="48" t="str">
        <f ca="1">IFERROR(__xludf.DUMMYFUNCTION("""COMPUTED_VALUE"""),"Sebastien")</f>
        <v>Sebastien</v>
      </c>
      <c r="E605" s="74" t="str">
        <f ca="1">IFERROR(__xludf.DUMMYFUNCTION("""COMPUTED_VALUE"""),"06080024")</f>
        <v>06080024</v>
      </c>
      <c r="F605" s="72" t="str">
        <f ca="1">IFERROR(__xludf.DUMMYFUNCTION("""COMPUTED_VALUE"""),"FLOING PPC")</f>
        <v>FLOING PPC</v>
      </c>
      <c r="G605" s="50" t="str">
        <f ca="1">IFERROR(__xludf.DUMMYFUNCTION("""COMPUTED_VALUE"""),"CD08")</f>
        <v>CD08</v>
      </c>
      <c r="H605" s="50" t="str">
        <f ca="1">IFERROR(__xludf.DUMMYFUNCTION("""COMPUTED_VALUE"""),"inactivité 3ème année")</f>
        <v>inactivité 3ème année</v>
      </c>
    </row>
    <row r="606" spans="1:8" ht="12.75">
      <c r="A606" s="46">
        <f ca="1">IFERROR(__xludf.DUMMYFUNCTION("""COMPUTED_VALUE"""),594)</f>
        <v>594</v>
      </c>
      <c r="B606" s="65" t="str">
        <f ca="1">IFERROR(__xludf.DUMMYFUNCTION("""COMPUTED_VALUE"""),"5737029")</f>
        <v>5737029</v>
      </c>
      <c r="C606" s="48" t="str">
        <f ca="1">IFERROR(__xludf.DUMMYFUNCTION("""COMPUTED_VALUE"""),"VANDLER")</f>
        <v>VANDLER</v>
      </c>
      <c r="D606" s="48" t="str">
        <f ca="1">IFERROR(__xludf.DUMMYFUNCTION("""COMPUTED_VALUE"""),"Quentin")</f>
        <v>Quentin</v>
      </c>
      <c r="E606" s="49" t="str">
        <f ca="1">IFERROR(__xludf.DUMMYFUNCTION("""COMPUTED_VALUE"""),"06570190")</f>
        <v>06570190</v>
      </c>
      <c r="F606" s="48" t="str">
        <f ca="1">IFERROR(__xludf.DUMMYFUNCTION("""COMPUTED_VALUE"""),"METZ Tennis de Table")</f>
        <v>METZ Tennis de Table</v>
      </c>
      <c r="G606" s="50" t="str">
        <f ca="1">IFERROR(__xludf.DUMMYFUNCTION("""COMPUTED_VALUE"""),"CD57")</f>
        <v>CD57</v>
      </c>
      <c r="H606" s="50" t="str">
        <f ca="1">IFERROR(__xludf.DUMMYFUNCTION("""COMPUTED_VALUE"""),"actif")</f>
        <v>actif</v>
      </c>
    </row>
    <row r="607" spans="1:8" ht="12.75">
      <c r="A607" s="46">
        <f ca="1">IFERROR(__xludf.DUMMYFUNCTION("""COMPUTED_VALUE"""),595)</f>
        <v>595</v>
      </c>
      <c r="B607" s="65" t="str">
        <f ca="1">IFERROR(__xludf.DUMMYFUNCTION("""COMPUTED_VALUE"""),"557258")</f>
        <v>557258</v>
      </c>
      <c r="C607" s="48" t="str">
        <f ca="1">IFERROR(__xludf.DUMMYFUNCTION("""COMPUTED_VALUE"""),"VANTOURS")</f>
        <v>VANTOURS</v>
      </c>
      <c r="D607" s="48" t="str">
        <f ca="1">IFERROR(__xludf.DUMMYFUNCTION("""COMPUTED_VALUE"""),"Steven")</f>
        <v>Steven</v>
      </c>
      <c r="E607" s="49" t="str">
        <f ca="1">IFERROR(__xludf.DUMMYFUNCTION("""COMPUTED_VALUE"""),"06550058")</f>
        <v>06550058</v>
      </c>
      <c r="F607" s="48" t="str">
        <f ca="1">IFERROR(__xludf.DUMMYFUNCTION("""COMPUTED_VALUE"""),"Les Loups de DAMVILLERS ASTT ")</f>
        <v xml:space="preserve">Les Loups de DAMVILLERS ASTT </v>
      </c>
      <c r="G607" s="50" t="str">
        <f ca="1">IFERROR(__xludf.DUMMYFUNCTION("""COMPUTED_VALUE"""),"CD55")</f>
        <v>CD55</v>
      </c>
      <c r="H607" s="50" t="str">
        <f ca="1">IFERROR(__xludf.DUMMYFUNCTION("""COMPUTED_VALUE"""),"actif")</f>
        <v>actif</v>
      </c>
    </row>
    <row r="608" spans="1:8" ht="12.75">
      <c r="A608" s="46">
        <f ca="1">IFERROR(__xludf.DUMMYFUNCTION("""COMPUTED_VALUE"""),596)</f>
        <v>596</v>
      </c>
      <c r="B608" s="65" t="str">
        <f ca="1">IFERROR(__xludf.DUMMYFUNCTION("""COMPUTED_VALUE"""),"517110")</f>
        <v>517110</v>
      </c>
      <c r="C608" s="48" t="str">
        <f ca="1">IFERROR(__xludf.DUMMYFUNCTION("""COMPUTED_VALUE"""),"VAUTHENY")</f>
        <v>VAUTHENY</v>
      </c>
      <c r="D608" s="48" t="str">
        <f ca="1">IFERROR(__xludf.DUMMYFUNCTION("""COMPUTED_VALUE"""),"Philippe")</f>
        <v>Philippe</v>
      </c>
      <c r="E608" s="49" t="str">
        <f ca="1">IFERROR(__xludf.DUMMYFUNCTION("""COMPUTED_VALUE"""),"06510019")</f>
        <v>06510019</v>
      </c>
      <c r="F608" s="48" t="str">
        <f ca="1">IFERROR(__xludf.DUMMYFUNCTION("""COMPUTED_VALUE"""),"TAISSY ASTT")</f>
        <v>TAISSY ASTT</v>
      </c>
      <c r="G608" s="50" t="str">
        <f ca="1">IFERROR(__xludf.DUMMYFUNCTION("""COMPUTED_VALUE"""),"CD51")</f>
        <v>CD51</v>
      </c>
      <c r="H608" s="50" t="str">
        <f ca="1">IFERROR(__xludf.DUMMYFUNCTION("""COMPUTED_VALUE"""),"inactivité 1ère année")</f>
        <v>inactivité 1ère année</v>
      </c>
    </row>
    <row r="609" spans="1:8" ht="12.75">
      <c r="A609" s="46">
        <f ca="1">IFERROR(__xludf.DUMMYFUNCTION("""COMPUTED_VALUE"""),597)</f>
        <v>597</v>
      </c>
      <c r="B609" s="65" t="str">
        <f ca="1">IFERROR(__xludf.DUMMYFUNCTION("""COMPUTED_VALUE"""),"081576")</f>
        <v>081576</v>
      </c>
      <c r="C609" s="48" t="str">
        <f ca="1">IFERROR(__xludf.DUMMYFUNCTION("""COMPUTED_VALUE"""),"VAUTHIER")</f>
        <v>VAUTHIER</v>
      </c>
      <c r="D609" s="48" t="str">
        <f ca="1">IFERROR(__xludf.DUMMYFUNCTION("""COMPUTED_VALUE"""),"Daniel")</f>
        <v>Daniel</v>
      </c>
      <c r="E609" s="49" t="str">
        <f ca="1">IFERROR(__xludf.DUMMYFUNCTION("""COMPUTED_VALUE"""),"06080064")</f>
        <v>06080064</v>
      </c>
      <c r="F609" s="48" t="str">
        <f ca="1">IFERROR(__xludf.DUMMYFUNCTION("""COMPUTED_VALUE"""),"VIVIER AU COURT CTT")</f>
        <v>VIVIER AU COURT CTT</v>
      </c>
      <c r="G609" s="50" t="str">
        <f ca="1">IFERROR(__xludf.DUMMYFUNCTION("""COMPUTED_VALUE"""),"CD08")</f>
        <v>CD08</v>
      </c>
      <c r="H609" s="50" t="str">
        <f ca="1">IFERROR(__xludf.DUMMYFUNCTION("""COMPUTED_VALUE"""),"inactivité 3ème année")</f>
        <v>inactivité 3ème année</v>
      </c>
    </row>
    <row r="610" spans="1:8" ht="12.75">
      <c r="A610" s="46">
        <f ca="1">IFERROR(__xludf.DUMMYFUNCTION("""COMPUTED_VALUE"""),598)</f>
        <v>598</v>
      </c>
      <c r="B610" s="65" t="str">
        <f ca="1">IFERROR(__xludf.DUMMYFUNCTION("""COMPUTED_VALUE"""),"67554")</f>
        <v>67554</v>
      </c>
      <c r="C610" s="48" t="str">
        <f ca="1">IFERROR(__xludf.DUMMYFUNCTION("""COMPUTED_VALUE"""),"VEJUX")</f>
        <v>VEJUX</v>
      </c>
      <c r="D610" s="48" t="str">
        <f ca="1">IFERROR(__xludf.DUMMYFUNCTION("""COMPUTED_VALUE"""),"Nicolas")</f>
        <v>Nicolas</v>
      </c>
      <c r="E610" s="49" t="str">
        <f ca="1">IFERROR(__xludf.DUMMYFUNCTION("""COMPUTED_VALUE"""),"06670045")</f>
        <v>06670045</v>
      </c>
      <c r="F610" s="48" t="str">
        <f ca="1">IFERROR(__xludf.DUMMYFUNCTION("""COMPUTED_VALUE"""),"STRASBOURG RC")</f>
        <v>STRASBOURG RC</v>
      </c>
      <c r="G610" s="50" t="str">
        <f ca="1">IFERROR(__xludf.DUMMYFUNCTION("""COMPUTED_VALUE"""),"CD67")</f>
        <v>CD67</v>
      </c>
      <c r="H610" s="50" t="str">
        <f ca="1">IFERROR(__xludf.DUMMYFUNCTION("""COMPUTED_VALUE"""),"actif")</f>
        <v>actif</v>
      </c>
    </row>
    <row r="611" spans="1:8" ht="12.75">
      <c r="A611" s="46">
        <f ca="1">IFERROR(__xludf.DUMMYFUNCTION("""COMPUTED_VALUE"""),599)</f>
        <v>599</v>
      </c>
      <c r="B611" s="65" t="str">
        <f ca="1">IFERROR(__xludf.DUMMYFUNCTION("""COMPUTED_VALUE"""),"5433659")</f>
        <v>5433659</v>
      </c>
      <c r="C611" s="48" t="str">
        <f ca="1">IFERROR(__xludf.DUMMYFUNCTION("""COMPUTED_VALUE"""),"VERRIES")</f>
        <v>VERRIES</v>
      </c>
      <c r="D611" s="48" t="str">
        <f ca="1">IFERROR(__xludf.DUMMYFUNCTION("""COMPUTED_VALUE"""),"Fabien")</f>
        <v>Fabien</v>
      </c>
      <c r="E611" s="49" t="str">
        <f ca="1">IFERROR(__xludf.DUMMYFUNCTION("""COMPUTED_VALUE"""),"06540008")</f>
        <v>06540008</v>
      </c>
      <c r="F611" s="48" t="str">
        <f ca="1">IFERROR(__xludf.DUMMYFUNCTION("""COMPUTED_VALUE"""),"ESSEY-SEICHAMPS T.T.")</f>
        <v>ESSEY-SEICHAMPS T.T.</v>
      </c>
      <c r="G611" s="50" t="str">
        <f ca="1">IFERROR(__xludf.DUMMYFUNCTION("""COMPUTED_VALUE"""),"CD54")</f>
        <v>CD54</v>
      </c>
      <c r="H611" s="50" t="str">
        <f ca="1">IFERROR(__xludf.DUMMYFUNCTION("""COMPUTED_VALUE"""),"actif")</f>
        <v>actif</v>
      </c>
    </row>
    <row r="612" spans="1:8" ht="12.75">
      <c r="A612" s="46">
        <f ca="1">IFERROR(__xludf.DUMMYFUNCTION("""COMPUTED_VALUE"""),600)</f>
        <v>600</v>
      </c>
      <c r="B612" s="65" t="str">
        <f ca="1">IFERROR(__xludf.DUMMYFUNCTION("""COMPUTED_VALUE"""),"57678")</f>
        <v>57678</v>
      </c>
      <c r="C612" s="48" t="str">
        <f ca="1">IFERROR(__xludf.DUMMYFUNCTION("""COMPUTED_VALUE"""),"VIBERT")</f>
        <v>VIBERT</v>
      </c>
      <c r="D612" s="48" t="str">
        <f ca="1">IFERROR(__xludf.DUMMYFUNCTION("""COMPUTED_VALUE"""),"Richard")</f>
        <v>Richard</v>
      </c>
      <c r="E612" s="49" t="str">
        <f ca="1">IFERROR(__xludf.DUMMYFUNCTION("""COMPUTED_VALUE"""),"06570140")</f>
        <v>06570140</v>
      </c>
      <c r="F612" s="48" t="str">
        <f ca="1">IFERROR(__xludf.DUMMYFUNCTION("""COMPUTED_VALUE"""),"STE MARIE AUX CHENES ASPTT")</f>
        <v>STE MARIE AUX CHENES ASPTT</v>
      </c>
      <c r="G612" s="50" t="str">
        <f ca="1">IFERROR(__xludf.DUMMYFUNCTION("""COMPUTED_VALUE"""),"CD57")</f>
        <v>CD57</v>
      </c>
      <c r="H612" s="50" t="str">
        <f ca="1">IFERROR(__xludf.DUMMYFUNCTION("""COMPUTED_VALUE"""),"actif")</f>
        <v>actif</v>
      </c>
    </row>
    <row r="613" spans="1:8" ht="12.75">
      <c r="A613" s="46">
        <f ca="1">IFERROR(__xludf.DUMMYFUNCTION("""COMPUTED_VALUE"""),601)</f>
        <v>601</v>
      </c>
      <c r="B613" s="65" t="str">
        <f ca="1">IFERROR(__xludf.DUMMYFUNCTION("""COMPUTED_VALUE"""),"686906")</f>
        <v>686906</v>
      </c>
      <c r="C613" s="48" t="str">
        <f ca="1">IFERROR(__xludf.DUMMYFUNCTION("""COMPUTED_VALUE"""),"VIGOURET")</f>
        <v>VIGOURET</v>
      </c>
      <c r="D613" s="48" t="str">
        <f ca="1">IFERROR(__xludf.DUMMYFUNCTION("""COMPUTED_VALUE"""),"Herve")</f>
        <v>Herve</v>
      </c>
      <c r="E613" s="49" t="str">
        <f ca="1">IFERROR(__xludf.DUMMYFUNCTION("""COMPUTED_VALUE"""),"06680091")</f>
        <v>06680091</v>
      </c>
      <c r="F613" s="48" t="str">
        <f ca="1">IFERROR(__xludf.DUMMYFUNCTION("""COMPUTED_VALUE"""),"ILLZACH TTSJB")</f>
        <v>ILLZACH TTSJB</v>
      </c>
      <c r="G613" s="50" t="str">
        <f ca="1">IFERROR(__xludf.DUMMYFUNCTION("""COMPUTED_VALUE"""),"CD68")</f>
        <v>CD68</v>
      </c>
      <c r="H613" s="50" t="str">
        <f ca="1">IFERROR(__xludf.DUMMYFUNCTION("""COMPUTED_VALUE"""),"inactivité 3ème année")</f>
        <v>inactivité 3ème année</v>
      </c>
    </row>
    <row r="614" spans="1:8" ht="12.75">
      <c r="A614" s="46">
        <f ca="1">IFERROR(__xludf.DUMMYFUNCTION("""COMPUTED_VALUE"""),602)</f>
        <v>602</v>
      </c>
      <c r="B614" s="65" t="str">
        <f ca="1">IFERROR(__xludf.DUMMYFUNCTION("""COMPUTED_VALUE"""),"6724871")</f>
        <v>6724871</v>
      </c>
      <c r="C614" s="48" t="str">
        <f ca="1">IFERROR(__xludf.DUMMYFUNCTION("""COMPUTED_VALUE"""),"VILLANUEVA")</f>
        <v>VILLANUEVA</v>
      </c>
      <c r="D614" s="48" t="str">
        <f ca="1">IFERROR(__xludf.DUMMYFUNCTION("""COMPUTED_VALUE"""),"Valentine")</f>
        <v>Valentine</v>
      </c>
      <c r="E614" s="49" t="str">
        <f ca="1">IFERROR(__xludf.DUMMYFUNCTION("""COMPUTED_VALUE"""),"06670246")</f>
        <v>06670246</v>
      </c>
      <c r="F614" s="48" t="str">
        <f ca="1">IFERROR(__xludf.DUMMYFUNCTION("""COMPUTED_VALUE"""),"GRIESHEIM DINGSHEIM TT")</f>
        <v>GRIESHEIM DINGSHEIM TT</v>
      </c>
      <c r="G614" s="50" t="str">
        <f ca="1">IFERROR(__xludf.DUMMYFUNCTION("""COMPUTED_VALUE"""),"CD67")</f>
        <v>CD67</v>
      </c>
      <c r="H614" s="50" t="str">
        <f ca="1">IFERROR(__xludf.DUMMYFUNCTION("""COMPUTED_VALUE"""),"actif")</f>
        <v>actif</v>
      </c>
    </row>
    <row r="615" spans="1:8" ht="12.75">
      <c r="A615" s="46">
        <f ca="1">IFERROR(__xludf.DUMMYFUNCTION("""COMPUTED_VALUE"""),603)</f>
        <v>603</v>
      </c>
      <c r="B615" s="65" t="str">
        <f ca="1">IFERROR(__xludf.DUMMYFUNCTION("""COMPUTED_VALUE"""),"5412860")</f>
        <v>5412860</v>
      </c>
      <c r="C615" s="48" t="str">
        <f ca="1">IFERROR(__xludf.DUMMYFUNCTION("""COMPUTED_VALUE"""),"VINOT")</f>
        <v>VINOT</v>
      </c>
      <c r="D615" s="48" t="str">
        <f ca="1">IFERROR(__xludf.DUMMYFUNCTION("""COMPUTED_VALUE"""),"Roland")</f>
        <v>Roland</v>
      </c>
      <c r="E615" s="49" t="str">
        <f ca="1">IFERROR(__xludf.DUMMYFUNCTION("""COMPUTED_VALUE"""),"06540193")</f>
        <v>06540193</v>
      </c>
      <c r="F615" s="48" t="str">
        <f ca="1">IFERROR(__xludf.DUMMYFUNCTION("""COMPUTED_VALUE"""),"BACCARAT ABTT")</f>
        <v>BACCARAT ABTT</v>
      </c>
      <c r="G615" s="50" t="str">
        <f ca="1">IFERROR(__xludf.DUMMYFUNCTION("""COMPUTED_VALUE"""),"CD54")</f>
        <v>CD54</v>
      </c>
      <c r="H615" s="50" t="str">
        <f ca="1">IFERROR(__xludf.DUMMYFUNCTION("""COMPUTED_VALUE"""),"inactivité 1ère année")</f>
        <v>inactivité 1ère année</v>
      </c>
    </row>
    <row r="616" spans="1:8" ht="12.75">
      <c r="A616" s="46">
        <f ca="1">IFERROR(__xludf.DUMMYFUNCTION("""COMPUTED_VALUE"""),604)</f>
        <v>604</v>
      </c>
      <c r="B616" s="65" t="str">
        <f ca="1">IFERROR(__xludf.DUMMYFUNCTION("""COMPUTED_VALUE"""),"682027")</f>
        <v>682027</v>
      </c>
      <c r="C616" s="48" t="str">
        <f ca="1">IFERROR(__xludf.DUMMYFUNCTION("""COMPUTED_VALUE"""),"VOISIN")</f>
        <v>VOISIN</v>
      </c>
      <c r="D616" s="48" t="str">
        <f ca="1">IFERROR(__xludf.DUMMYFUNCTION("""COMPUTED_VALUE"""),"Jean-marie")</f>
        <v>Jean-marie</v>
      </c>
      <c r="E616" s="49" t="str">
        <f ca="1">IFERROR(__xludf.DUMMYFUNCTION("""COMPUTED_VALUE"""),"06680105")</f>
        <v>06680105</v>
      </c>
      <c r="F616" s="48" t="str">
        <f ca="1">IFERROR(__xludf.DUMMYFUNCTION("""COMPUTED_VALUE"""),"MULHOUSE TENNIS DE TABLE")</f>
        <v>MULHOUSE TENNIS DE TABLE</v>
      </c>
      <c r="G616" s="50" t="str">
        <f ca="1">IFERROR(__xludf.DUMMYFUNCTION("""COMPUTED_VALUE"""),"CD68")</f>
        <v>CD68</v>
      </c>
      <c r="H616" s="50" t="str">
        <f ca="1">IFERROR(__xludf.DUMMYFUNCTION("""COMPUTED_VALUE"""),"inactivité 3ème année")</f>
        <v>inactivité 3ème année</v>
      </c>
    </row>
    <row r="617" spans="1:8" ht="12.75">
      <c r="A617" s="46">
        <f ca="1">IFERROR(__xludf.DUMMYFUNCTION("""COMPUTED_VALUE"""),605)</f>
        <v>605</v>
      </c>
      <c r="B617" s="65" t="str">
        <f ca="1">IFERROR(__xludf.DUMMYFUNCTION("""COMPUTED_VALUE"""),"6728053")</f>
        <v>6728053</v>
      </c>
      <c r="C617" s="48" t="str">
        <f ca="1">IFERROR(__xludf.DUMMYFUNCTION("""COMPUTED_VALUE"""),"VOSS")</f>
        <v>VOSS</v>
      </c>
      <c r="D617" s="48" t="str">
        <f ca="1">IFERROR(__xludf.DUMMYFUNCTION("""COMPUTED_VALUE"""),"Julien")</f>
        <v>Julien</v>
      </c>
      <c r="E617" s="49" t="str">
        <f ca="1">IFERROR(__xludf.DUMMYFUNCTION("""COMPUTED_VALUE"""),"06670270")</f>
        <v>06670270</v>
      </c>
      <c r="F617" s="48" t="str">
        <f ca="1">IFERROR(__xludf.DUMMYFUNCTION("""COMPUTED_VALUE"""),"STRASBOURG EUROMETROPOLE TT")</f>
        <v>STRASBOURG EUROMETROPOLE TT</v>
      </c>
      <c r="G617" s="50" t="str">
        <f ca="1">IFERROR(__xludf.DUMMYFUNCTION("""COMPUTED_VALUE"""),"CD67")</f>
        <v>CD67</v>
      </c>
      <c r="H617" s="50" t="str">
        <f ca="1">IFERROR(__xludf.DUMMYFUNCTION("""COMPUTED_VALUE"""),"inactivité 2ème année")</f>
        <v>inactivité 2ème année</v>
      </c>
    </row>
    <row r="618" spans="1:8" ht="12.75">
      <c r="A618" s="46">
        <f ca="1">IFERROR(__xludf.DUMMYFUNCTION("""COMPUTED_VALUE"""),606)</f>
        <v>606</v>
      </c>
      <c r="B618" s="65" t="str">
        <f ca="1">IFERROR(__xludf.DUMMYFUNCTION("""COMPUTED_VALUE"""),"88380")</f>
        <v>88380</v>
      </c>
      <c r="C618" s="48" t="str">
        <f ca="1">IFERROR(__xludf.DUMMYFUNCTION("""COMPUTED_VALUE"""),"VOYEN")</f>
        <v>VOYEN</v>
      </c>
      <c r="D618" s="48" t="str">
        <f ca="1">IFERROR(__xludf.DUMMYFUNCTION("""COMPUTED_VALUE"""),"Allain")</f>
        <v>Allain</v>
      </c>
      <c r="E618" s="49" t="str">
        <f ca="1">IFERROR(__xludf.DUMMYFUNCTION("""COMPUTED_VALUE"""),"06880021")</f>
        <v>06880021</v>
      </c>
      <c r="F618" s="48" t="str">
        <f ca="1">IFERROR(__xludf.DUMMYFUNCTION("""COMPUTED_VALUE"""),"BAINS LES BAINS AM.PONG.")</f>
        <v>BAINS LES BAINS AM.PONG.</v>
      </c>
      <c r="G618" s="50" t="str">
        <f ca="1">IFERROR(__xludf.DUMMYFUNCTION("""COMPUTED_VALUE"""),"CD88")</f>
        <v>CD88</v>
      </c>
      <c r="H618" s="50" t="str">
        <f ca="1">IFERROR(__xludf.DUMMYFUNCTION("""COMPUTED_VALUE"""),"actif")</f>
        <v>actif</v>
      </c>
    </row>
    <row r="619" spans="1:8" ht="12.75">
      <c r="A619" s="46">
        <f ca="1">IFERROR(__xludf.DUMMYFUNCTION("""COMPUTED_VALUE"""),607)</f>
        <v>607</v>
      </c>
      <c r="B619" s="65" t="str">
        <f ca="1">IFERROR(__xludf.DUMMYFUNCTION("""COMPUTED_VALUE"""),"885989")</f>
        <v>885989</v>
      </c>
      <c r="C619" s="48" t="str">
        <f ca="1">IFERROR(__xludf.DUMMYFUNCTION("""COMPUTED_VALUE"""),"VOYEN")</f>
        <v>VOYEN</v>
      </c>
      <c r="D619" s="48" t="str">
        <f ca="1">IFERROR(__xludf.DUMMYFUNCTION("""COMPUTED_VALUE"""),"Madeline")</f>
        <v>Madeline</v>
      </c>
      <c r="E619" s="49" t="str">
        <f ca="1">IFERROR(__xludf.DUMMYFUNCTION("""COMPUTED_VALUE"""),"06880002")</f>
        <v>06880002</v>
      </c>
      <c r="F619" s="48" t="str">
        <f ca="1">IFERROR(__xludf.DUMMYFUNCTION("""COMPUTED_VALUE"""),"ANOULD Cercle Pongiste")</f>
        <v>ANOULD Cercle Pongiste</v>
      </c>
      <c r="G619" s="50" t="str">
        <f ca="1">IFERROR(__xludf.DUMMYFUNCTION("""COMPUTED_VALUE"""),"CD88")</f>
        <v>CD88</v>
      </c>
      <c r="H619" s="50" t="str">
        <f ca="1">IFERROR(__xludf.DUMMYFUNCTION("""COMPUTED_VALUE"""),"inactivité 1ère année")</f>
        <v>inactivité 1ère année</v>
      </c>
    </row>
    <row r="620" spans="1:8" ht="12.75">
      <c r="A620" s="46">
        <f ca="1">IFERROR(__xludf.DUMMYFUNCTION("""COMPUTED_VALUE"""),608)</f>
        <v>608</v>
      </c>
      <c r="B620" s="65" t="str">
        <f ca="1">IFERROR(__xludf.DUMMYFUNCTION("""COMPUTED_VALUE"""),"5430619")</f>
        <v>5430619</v>
      </c>
      <c r="C620" s="48" t="str">
        <f ca="1">IFERROR(__xludf.DUMMYFUNCTION("""COMPUTED_VALUE"""),"VUILLEUMIER")</f>
        <v>VUILLEUMIER</v>
      </c>
      <c r="D620" s="48" t="str">
        <f ca="1">IFERROR(__xludf.DUMMYFUNCTION("""COMPUTED_VALUE"""),"Lucas")</f>
        <v>Lucas</v>
      </c>
      <c r="E620" s="49" t="str">
        <f ca="1">IFERROR(__xludf.DUMMYFUNCTION("""COMPUTED_VALUE"""),"06540040")</f>
        <v>06540040</v>
      </c>
      <c r="F620" s="48" t="str">
        <f ca="1">IFERROR(__xludf.DUMMYFUNCTION("""COMPUTED_VALUE"""),"VILLERS LES NANCY C.O.S.")</f>
        <v>VILLERS LES NANCY C.O.S.</v>
      </c>
      <c r="G620" s="50" t="str">
        <f ca="1">IFERROR(__xludf.DUMMYFUNCTION("""COMPUTED_VALUE"""),"CD54")</f>
        <v>CD54</v>
      </c>
      <c r="H620" s="50" t="str">
        <f ca="1">IFERROR(__xludf.DUMMYFUNCTION("""COMPUTED_VALUE"""),"actif")</f>
        <v>actif</v>
      </c>
    </row>
    <row r="621" spans="1:8" ht="12.75">
      <c r="A621" s="46">
        <f ca="1">IFERROR(__xludf.DUMMYFUNCTION("""COMPUTED_VALUE"""),609)</f>
        <v>609</v>
      </c>
      <c r="B621" s="65" t="str">
        <f ca="1">IFERROR(__xludf.DUMMYFUNCTION("""COMPUTED_VALUE"""),"5728537")</f>
        <v>5728537</v>
      </c>
      <c r="C621" s="48" t="str">
        <f ca="1">IFERROR(__xludf.DUMMYFUNCTION("""COMPUTED_VALUE"""),"WALLIN")</f>
        <v>WALLIN</v>
      </c>
      <c r="D621" s="48" t="str">
        <f ca="1">IFERROR(__xludf.DUMMYFUNCTION("""COMPUTED_VALUE"""),"Jérémy")</f>
        <v>Jérémy</v>
      </c>
      <c r="E621" s="49" t="str">
        <f ca="1">IFERROR(__xludf.DUMMYFUNCTION("""COMPUTED_VALUE"""),"06570107")</f>
        <v>06570107</v>
      </c>
      <c r="F621" s="48" t="str">
        <f ca="1">IFERROR(__xludf.DUMMYFUNCTION("""COMPUTED_VALUE"""),"MAIZIÈRES-LÈS-METZ T.T.")</f>
        <v>MAIZIÈRES-LÈS-METZ T.T.</v>
      </c>
      <c r="G621" s="50" t="str">
        <f ca="1">IFERROR(__xludf.DUMMYFUNCTION("""COMPUTED_VALUE"""),"CD57")</f>
        <v>CD57</v>
      </c>
      <c r="H621" s="50" t="str">
        <f ca="1">IFERROR(__xludf.DUMMYFUNCTION("""COMPUTED_VALUE"""),"actif")</f>
        <v>actif</v>
      </c>
    </row>
    <row r="622" spans="1:8" ht="12.75">
      <c r="A622" s="46">
        <f ca="1">IFERROR(__xludf.DUMMYFUNCTION("""COMPUTED_VALUE"""),610)</f>
        <v>610</v>
      </c>
      <c r="B622" s="65" t="str">
        <f ca="1">IFERROR(__xludf.DUMMYFUNCTION("""COMPUTED_VALUE"""),"6718151")</f>
        <v>6718151</v>
      </c>
      <c r="C622" s="48" t="str">
        <f ca="1">IFERROR(__xludf.DUMMYFUNCTION("""COMPUTED_VALUE"""),"WANAVERBECQ")</f>
        <v>WANAVERBECQ</v>
      </c>
      <c r="D622" s="48" t="str">
        <f ca="1">IFERROR(__xludf.DUMMYFUNCTION("""COMPUTED_VALUE"""),"Didier")</f>
        <v>Didier</v>
      </c>
      <c r="E622" s="49" t="str">
        <f ca="1">IFERROR(__xludf.DUMMYFUNCTION("""COMPUTED_VALUE"""),"06670122")</f>
        <v>06670122</v>
      </c>
      <c r="F622" s="48" t="str">
        <f ca="1">IFERROR(__xludf.DUMMYFUNCTION("""COMPUTED_VALUE"""),"OBERNAI CA")</f>
        <v>OBERNAI CA</v>
      </c>
      <c r="G622" s="50" t="str">
        <f ca="1">IFERROR(__xludf.DUMMYFUNCTION("""COMPUTED_VALUE"""),"CD67")</f>
        <v>CD67</v>
      </c>
      <c r="H622" s="50" t="str">
        <f ca="1">IFERROR(__xludf.DUMMYFUNCTION("""COMPUTED_VALUE"""),"actif")</f>
        <v>actif</v>
      </c>
    </row>
    <row r="623" spans="1:8" ht="12.75">
      <c r="A623" s="46">
        <f ca="1">IFERROR(__xludf.DUMMYFUNCTION("""COMPUTED_VALUE"""),611)</f>
        <v>611</v>
      </c>
      <c r="B623" s="65" t="str">
        <f ca="1">IFERROR(__xludf.DUMMYFUNCTION("""COMPUTED_VALUE"""),"577646")</f>
        <v>577646</v>
      </c>
      <c r="C623" s="48" t="str">
        <f ca="1">IFERROR(__xludf.DUMMYFUNCTION("""COMPUTED_VALUE"""),"WEBER")</f>
        <v>WEBER</v>
      </c>
      <c r="D623" s="48" t="str">
        <f ca="1">IFERROR(__xludf.DUMMYFUNCTION("""COMPUTED_VALUE"""),"Marc")</f>
        <v>Marc</v>
      </c>
      <c r="E623" s="49" t="str">
        <f ca="1">IFERROR(__xludf.DUMMYFUNCTION("""COMPUTED_VALUE"""),"06570022")</f>
        <v>06570022</v>
      </c>
      <c r="F623" s="48" t="str">
        <f ca="1">IFERROR(__xludf.DUMMYFUNCTION("""COMPUTED_VALUE"""),"AS.Sarreguemines Tennis de Table")</f>
        <v>AS.Sarreguemines Tennis de Table</v>
      </c>
      <c r="G623" s="50" t="str">
        <f ca="1">IFERROR(__xludf.DUMMYFUNCTION("""COMPUTED_VALUE"""),"CD57")</f>
        <v>CD57</v>
      </c>
      <c r="H623" s="50" t="str">
        <f ca="1">IFERROR(__xludf.DUMMYFUNCTION("""COMPUTED_VALUE"""),"inactivité 3ème année")</f>
        <v>inactivité 3ème année</v>
      </c>
    </row>
    <row r="624" spans="1:8" ht="12.75">
      <c r="A624" s="46">
        <f ca="1">IFERROR(__xludf.DUMMYFUNCTION("""COMPUTED_VALUE"""),612)</f>
        <v>612</v>
      </c>
      <c r="B624" s="65" t="str">
        <f ca="1">IFERROR(__xludf.DUMMYFUNCTION("""COMPUTED_VALUE"""),"5727915")</f>
        <v>5727915</v>
      </c>
      <c r="C624" s="48" t="str">
        <f ca="1">IFERROR(__xludf.DUMMYFUNCTION("""COMPUTED_VALUE"""),"WEBER")</f>
        <v>WEBER</v>
      </c>
      <c r="D624" s="48" t="str">
        <f ca="1">IFERROR(__xludf.DUMMYFUNCTION("""COMPUTED_VALUE"""),"Fabrice")</f>
        <v>Fabrice</v>
      </c>
      <c r="E624" s="49" t="str">
        <f ca="1">IFERROR(__xludf.DUMMYFUNCTION("""COMPUTED_VALUE"""),"06570190")</f>
        <v>06570190</v>
      </c>
      <c r="F624" s="48" t="str">
        <f ca="1">IFERROR(__xludf.DUMMYFUNCTION("""COMPUTED_VALUE"""),"METZ Tennis de Table")</f>
        <v>METZ Tennis de Table</v>
      </c>
      <c r="G624" s="50" t="str">
        <f ca="1">IFERROR(__xludf.DUMMYFUNCTION("""COMPUTED_VALUE"""),"CD57")</f>
        <v>CD57</v>
      </c>
      <c r="H624" s="50" t="str">
        <f ca="1">IFERROR(__xludf.DUMMYFUNCTION("""COMPUTED_VALUE"""),"inactivité 3ème année")</f>
        <v>inactivité 3ème année</v>
      </c>
    </row>
    <row r="625" spans="1:8" ht="12.75">
      <c r="A625" s="46">
        <f ca="1">IFERROR(__xludf.DUMMYFUNCTION("""COMPUTED_VALUE"""),613)</f>
        <v>613</v>
      </c>
      <c r="B625" s="65" t="str">
        <f ca="1">IFERROR(__xludf.DUMMYFUNCTION("""COMPUTED_VALUE"""),"5727590")</f>
        <v>5727590</v>
      </c>
      <c r="C625" s="48" t="str">
        <f ca="1">IFERROR(__xludf.DUMMYFUNCTION("""COMPUTED_VALUE"""),"WEBER")</f>
        <v>WEBER</v>
      </c>
      <c r="D625" s="48" t="str">
        <f ca="1">IFERROR(__xludf.DUMMYFUNCTION("""COMPUTED_VALUE"""),"Guillaume")</f>
        <v>Guillaume</v>
      </c>
      <c r="E625" s="49" t="str">
        <f ca="1">IFERROR(__xludf.DUMMYFUNCTION("""COMPUTED_VALUE"""),"06570190")</f>
        <v>06570190</v>
      </c>
      <c r="F625" s="48" t="str">
        <f ca="1">IFERROR(__xludf.DUMMYFUNCTION("""COMPUTED_VALUE"""),"METZ Tennis de Table")</f>
        <v>METZ Tennis de Table</v>
      </c>
      <c r="G625" s="50" t="str">
        <f ca="1">IFERROR(__xludf.DUMMYFUNCTION("""COMPUTED_VALUE"""),"CD57")</f>
        <v>CD57</v>
      </c>
      <c r="H625" s="50" t="str">
        <f ca="1">IFERROR(__xludf.DUMMYFUNCTION("""COMPUTED_VALUE"""),"actif")</f>
        <v>actif</v>
      </c>
    </row>
    <row r="626" spans="1:8" ht="12.75">
      <c r="A626" s="46">
        <f ca="1">IFERROR(__xludf.DUMMYFUNCTION("""COMPUTED_VALUE"""),614)</f>
        <v>614</v>
      </c>
      <c r="B626" s="65" t="str">
        <f ca="1">IFERROR(__xludf.DUMMYFUNCTION("""COMPUTED_VALUE"""),"5737111")</f>
        <v>5737111</v>
      </c>
      <c r="C626" s="48" t="str">
        <f ca="1">IFERROR(__xludf.DUMMYFUNCTION("""COMPUTED_VALUE"""),"WEBER")</f>
        <v>WEBER</v>
      </c>
      <c r="D626" s="48" t="str">
        <f ca="1">IFERROR(__xludf.DUMMYFUNCTION("""COMPUTED_VALUE"""),"Sarah")</f>
        <v>Sarah</v>
      </c>
      <c r="E626" s="49" t="str">
        <f ca="1">IFERROR(__xludf.DUMMYFUNCTION("""COMPUTED_VALUE"""),"06570202")</f>
        <v>06570202</v>
      </c>
      <c r="F626" s="48" t="str">
        <f ca="1">IFERROR(__xludf.DUMMYFUNCTION("""COMPUTED_VALUE"""),"NIDERVILLER Eden Pongiste")</f>
        <v>NIDERVILLER Eden Pongiste</v>
      </c>
      <c r="G626" s="50" t="str">
        <f ca="1">IFERROR(__xludf.DUMMYFUNCTION("""COMPUTED_VALUE"""),"CD57")</f>
        <v>CD57</v>
      </c>
      <c r="H626" s="50" t="str">
        <f ca="1">IFERROR(__xludf.DUMMYFUNCTION("""COMPUTED_VALUE"""),"inactivité 1ère année")</f>
        <v>inactivité 1ère année</v>
      </c>
    </row>
    <row r="627" spans="1:8" ht="12.75">
      <c r="A627" s="46">
        <f ca="1">IFERROR(__xludf.DUMMYFUNCTION("""COMPUTED_VALUE"""),615)</f>
        <v>615</v>
      </c>
      <c r="B627" s="65" t="str">
        <f ca="1">IFERROR(__xludf.DUMMYFUNCTION("""COMPUTED_VALUE"""),"578148")</f>
        <v>578148</v>
      </c>
      <c r="C627" s="48" t="str">
        <f ca="1">IFERROR(__xludf.DUMMYFUNCTION("""COMPUTED_VALUE"""),"WEBER")</f>
        <v>WEBER</v>
      </c>
      <c r="D627" s="48" t="str">
        <f ca="1">IFERROR(__xludf.DUMMYFUNCTION("""COMPUTED_VALUE"""),"Franck")</f>
        <v>Franck</v>
      </c>
      <c r="E627" s="49" t="str">
        <f ca="1">IFERROR(__xludf.DUMMYFUNCTION("""COMPUTED_VALUE"""),"06570202")</f>
        <v>06570202</v>
      </c>
      <c r="F627" s="48" t="str">
        <f ca="1">IFERROR(__xludf.DUMMYFUNCTION("""COMPUTED_VALUE"""),"NIDERVILLER Eden Pongiste")</f>
        <v>NIDERVILLER Eden Pongiste</v>
      </c>
      <c r="G627" s="50" t="str">
        <f ca="1">IFERROR(__xludf.DUMMYFUNCTION("""COMPUTED_VALUE"""),"CD57")</f>
        <v>CD57</v>
      </c>
      <c r="H627" s="50" t="str">
        <f ca="1">IFERROR(__xludf.DUMMYFUNCTION("""COMPUTED_VALUE"""),"inactivité 1ère année")</f>
        <v>inactivité 1ère année</v>
      </c>
    </row>
    <row r="628" spans="1:8" ht="12.75">
      <c r="A628" s="46">
        <f ca="1">IFERROR(__xludf.DUMMYFUNCTION("""COMPUTED_VALUE"""),616)</f>
        <v>616</v>
      </c>
      <c r="B628" s="65" t="str">
        <f ca="1">IFERROR(__xludf.DUMMYFUNCTION("""COMPUTED_VALUE"""),"6720335")</f>
        <v>6720335</v>
      </c>
      <c r="C628" s="48" t="str">
        <f ca="1">IFERROR(__xludf.DUMMYFUNCTION("""COMPUTED_VALUE"""),"WEIBLE")</f>
        <v>WEIBLE</v>
      </c>
      <c r="D628" s="48" t="str">
        <f ca="1">IFERROR(__xludf.DUMMYFUNCTION("""COMPUTED_VALUE"""),"Pierre")</f>
        <v>Pierre</v>
      </c>
      <c r="E628" s="49" t="str">
        <f ca="1">IFERROR(__xludf.DUMMYFUNCTION("""COMPUTED_VALUE"""),"06670216")</f>
        <v>06670216</v>
      </c>
      <c r="F628" s="48" t="str">
        <f ca="1">IFERROR(__xludf.DUMMYFUNCTION("""COMPUTED_VALUE"""),"HOERDT T.T.")</f>
        <v>HOERDT T.T.</v>
      </c>
      <c r="G628" s="50" t="str">
        <f ca="1">IFERROR(__xludf.DUMMYFUNCTION("""COMPUTED_VALUE"""),"CD67")</f>
        <v>CD67</v>
      </c>
      <c r="H628" s="50" t="str">
        <f ca="1">IFERROR(__xludf.DUMMYFUNCTION("""COMPUTED_VALUE"""),"inactivité 3ème année")</f>
        <v>inactivité 3ème année</v>
      </c>
    </row>
    <row r="629" spans="1:8" ht="12.75">
      <c r="A629" s="46">
        <f ca="1">IFERROR(__xludf.DUMMYFUNCTION("""COMPUTED_VALUE"""),617)</f>
        <v>617</v>
      </c>
      <c r="B629" s="65" t="str">
        <f ca="1">IFERROR(__xludf.DUMMYFUNCTION("""COMPUTED_VALUE"""),"6728584")</f>
        <v>6728584</v>
      </c>
      <c r="C629" s="48" t="str">
        <f ca="1">IFERROR(__xludf.DUMMYFUNCTION("""COMPUTED_VALUE"""),"WEIL")</f>
        <v>WEIL</v>
      </c>
      <c r="D629" s="48" t="str">
        <f ca="1">IFERROR(__xludf.DUMMYFUNCTION("""COMPUTED_VALUE"""),"Arthur")</f>
        <v>Arthur</v>
      </c>
      <c r="E629" s="49" t="str">
        <f ca="1">IFERROR(__xludf.DUMMYFUNCTION("""COMPUTED_VALUE"""),"06670122")</f>
        <v>06670122</v>
      </c>
      <c r="F629" s="48" t="str">
        <f ca="1">IFERROR(__xludf.DUMMYFUNCTION("""COMPUTED_VALUE"""),"OBERNAI CA")</f>
        <v>OBERNAI CA</v>
      </c>
      <c r="G629" s="50" t="str">
        <f ca="1">IFERROR(__xludf.DUMMYFUNCTION("""COMPUTED_VALUE"""),"CD67")</f>
        <v>CD67</v>
      </c>
      <c r="H629" s="50" t="str">
        <f ca="1">IFERROR(__xludf.DUMMYFUNCTION("""COMPUTED_VALUE"""),"actif")</f>
        <v>actif</v>
      </c>
    </row>
    <row r="630" spans="1:8" ht="12.75">
      <c r="A630" s="46">
        <f ca="1">IFERROR(__xludf.DUMMYFUNCTION("""COMPUTED_VALUE"""),618)</f>
        <v>618</v>
      </c>
      <c r="B630" s="65" t="str">
        <f ca="1">IFERROR(__xludf.DUMMYFUNCTION("""COMPUTED_VALUE"""),"6724630")</f>
        <v>6724630</v>
      </c>
      <c r="C630" s="48" t="str">
        <f ca="1">IFERROR(__xludf.DUMMYFUNCTION("""COMPUTED_VALUE"""),"WEISS")</f>
        <v>WEISS</v>
      </c>
      <c r="D630" s="48" t="str">
        <f ca="1">IFERROR(__xludf.DUMMYFUNCTION("""COMPUTED_VALUE"""),"Josue")</f>
        <v>Josue</v>
      </c>
      <c r="E630" s="49" t="str">
        <f ca="1">IFERROR(__xludf.DUMMYFUNCTION("""COMPUTED_VALUE"""),"06670187")</f>
        <v>06670187</v>
      </c>
      <c r="F630" s="48" t="str">
        <f ca="1">IFERROR(__xludf.DUMMYFUNCTION("""COMPUTED_VALUE"""),"SCHIRRHEIN-SCHIRRHOFFEN CSCSN")</f>
        <v>SCHIRRHEIN-SCHIRRHOFFEN CSCSN</v>
      </c>
      <c r="G630" s="50" t="str">
        <f ca="1">IFERROR(__xludf.DUMMYFUNCTION("""COMPUTED_VALUE"""),"CD67")</f>
        <v>CD67</v>
      </c>
      <c r="H630" s="50" t="str">
        <f ca="1">IFERROR(__xludf.DUMMYFUNCTION("""COMPUTED_VALUE"""),"inactivité 1ère année")</f>
        <v>inactivité 1ère année</v>
      </c>
    </row>
    <row r="631" spans="1:8" ht="12.75">
      <c r="A631" s="46">
        <f ca="1">IFERROR(__xludf.DUMMYFUNCTION("""COMPUTED_VALUE"""),619)</f>
        <v>619</v>
      </c>
      <c r="B631" s="65" t="str">
        <f ca="1">IFERROR(__xludf.DUMMYFUNCTION("""COMPUTED_VALUE"""),"686416")</f>
        <v>686416</v>
      </c>
      <c r="C631" s="48" t="str">
        <f ca="1">IFERROR(__xludf.DUMMYFUNCTION("""COMPUTED_VALUE"""),"WERTENSCHLAG")</f>
        <v>WERTENSCHLAG</v>
      </c>
      <c r="D631" s="48" t="str">
        <f ca="1">IFERROR(__xludf.DUMMYFUNCTION("""COMPUTED_VALUE"""),"Marie-Line")</f>
        <v>Marie-Line</v>
      </c>
      <c r="E631" s="49" t="str">
        <f ca="1">IFERROR(__xludf.DUMMYFUNCTION("""COMPUTED_VALUE"""),"06680011")</f>
        <v>06680011</v>
      </c>
      <c r="F631" s="48" t="str">
        <f ca="1">IFERROR(__xludf.DUMMYFUNCTION("""COMPUTED_VALUE"""),"RIXHEIM PPA")</f>
        <v>RIXHEIM PPA</v>
      </c>
      <c r="G631" s="50" t="str">
        <f ca="1">IFERROR(__xludf.DUMMYFUNCTION("""COMPUTED_VALUE"""),"CD68")</f>
        <v>CD68</v>
      </c>
      <c r="H631" s="50" t="str">
        <f ca="1">IFERROR(__xludf.DUMMYFUNCTION("""COMPUTED_VALUE"""),"inactivité 1ère année")</f>
        <v>inactivité 1ère année</v>
      </c>
    </row>
    <row r="632" spans="1:8" ht="12.75">
      <c r="A632" s="46">
        <f ca="1">IFERROR(__xludf.DUMMYFUNCTION("""COMPUTED_VALUE"""),620)</f>
        <v>620</v>
      </c>
      <c r="B632" s="65" t="str">
        <f ca="1">IFERROR(__xludf.DUMMYFUNCTION("""COMPUTED_VALUE"""),"57609")</f>
        <v>57609</v>
      </c>
      <c r="C632" s="48" t="str">
        <f ca="1">IFERROR(__xludf.DUMMYFUNCTION("""COMPUTED_VALUE"""),"WILHELM")</f>
        <v>WILHELM</v>
      </c>
      <c r="D632" s="48" t="str">
        <f ca="1">IFERROR(__xludf.DUMMYFUNCTION("""COMPUTED_VALUE"""),"Stephan")</f>
        <v>Stephan</v>
      </c>
      <c r="E632" s="49" t="str">
        <f ca="1">IFERROR(__xludf.DUMMYFUNCTION("""COMPUTED_VALUE"""),"06570030")</f>
        <v>06570030</v>
      </c>
      <c r="F632" s="48" t="str">
        <f ca="1">IFERROR(__xludf.DUMMYFUNCTION("""COMPUTED_VALUE"""),"SPICHEREN C.S.N.")</f>
        <v>SPICHEREN C.S.N.</v>
      </c>
      <c r="G632" s="50" t="str">
        <f ca="1">IFERROR(__xludf.DUMMYFUNCTION("""COMPUTED_VALUE"""),"CD57")</f>
        <v>CD57</v>
      </c>
      <c r="H632" s="50" t="str">
        <f ca="1">IFERROR(__xludf.DUMMYFUNCTION("""COMPUTED_VALUE"""),"inactivité 2ème année")</f>
        <v>inactivité 2ème année</v>
      </c>
    </row>
    <row r="633" spans="1:8" ht="12.75">
      <c r="A633" s="46">
        <f ca="1">IFERROR(__xludf.DUMMYFUNCTION("""COMPUTED_VALUE"""),621)</f>
        <v>621</v>
      </c>
      <c r="B633" s="65" t="str">
        <f ca="1">IFERROR(__xludf.DUMMYFUNCTION("""COMPUTED_VALUE"""),"6720244")</f>
        <v>6720244</v>
      </c>
      <c r="C633" s="48" t="str">
        <f ca="1">IFERROR(__xludf.DUMMYFUNCTION("""COMPUTED_VALUE"""),"WINTER")</f>
        <v>WINTER</v>
      </c>
      <c r="D633" s="48" t="str">
        <f ca="1">IFERROR(__xludf.DUMMYFUNCTION("""COMPUTED_VALUE"""),"Justine")</f>
        <v>Justine</v>
      </c>
      <c r="E633" s="49" t="str">
        <f ca="1">IFERROR(__xludf.DUMMYFUNCTION("""COMPUTED_VALUE"""),"06670279")</f>
        <v>06670279</v>
      </c>
      <c r="F633" s="48" t="str">
        <f ca="1">IFERROR(__xludf.DUMMYFUNCTION("""COMPUTED_VALUE"""),"Etoile Pongiste de SCHLEITHAL ")</f>
        <v xml:space="preserve">Etoile Pongiste de SCHLEITHAL </v>
      </c>
      <c r="G633" s="50" t="str">
        <f ca="1">IFERROR(__xludf.DUMMYFUNCTION("""COMPUTED_VALUE"""),"CD67")</f>
        <v>CD67</v>
      </c>
      <c r="H633" s="50" t="str">
        <f ca="1">IFERROR(__xludf.DUMMYFUNCTION("""COMPUTED_VALUE"""),"inactivité 2ème année")</f>
        <v>inactivité 2ème année</v>
      </c>
    </row>
    <row r="634" spans="1:8" ht="12.75">
      <c r="A634" s="46">
        <f ca="1">IFERROR(__xludf.DUMMYFUNCTION("""COMPUTED_VALUE"""),622)</f>
        <v>622</v>
      </c>
      <c r="B634" s="65" t="str">
        <f ca="1">IFERROR(__xludf.DUMMYFUNCTION("""COMPUTED_VALUE"""),"5720638")</f>
        <v>5720638</v>
      </c>
      <c r="C634" s="48" t="str">
        <f ca="1">IFERROR(__xludf.DUMMYFUNCTION("""COMPUTED_VALUE"""),"WINTERHALTER")</f>
        <v>WINTERHALTER</v>
      </c>
      <c r="D634" s="48" t="str">
        <f ca="1">IFERROR(__xludf.DUMMYFUNCTION("""COMPUTED_VALUE"""),"Morgan")</f>
        <v>Morgan</v>
      </c>
      <c r="E634" s="49" t="str">
        <f ca="1">IFERROR(__xludf.DUMMYFUNCTION("""COMPUTED_VALUE"""),"06570073")</f>
        <v>06570073</v>
      </c>
      <c r="F634" s="48" t="str">
        <f ca="1">IFERROR(__xludf.DUMMYFUNCTION("""COMPUTED_VALUE"""),"TERVILLE Tennis de Table")</f>
        <v>TERVILLE Tennis de Table</v>
      </c>
      <c r="G634" s="50" t="str">
        <f ca="1">IFERROR(__xludf.DUMMYFUNCTION("""COMPUTED_VALUE"""),"CD57")</f>
        <v>CD57</v>
      </c>
      <c r="H634" s="50" t="str">
        <f ca="1">IFERROR(__xludf.DUMMYFUNCTION("""COMPUTED_VALUE"""),"inactivité 2ème année")</f>
        <v>inactivité 2ème année</v>
      </c>
    </row>
    <row r="635" spans="1:8" ht="12.75">
      <c r="A635" s="46">
        <f ca="1">IFERROR(__xludf.DUMMYFUNCTION("""COMPUTED_VALUE"""),623)</f>
        <v>623</v>
      </c>
      <c r="B635" s="65" t="str">
        <f ca="1">IFERROR(__xludf.DUMMYFUNCTION("""COMPUTED_VALUE"""),"6727826")</f>
        <v>6727826</v>
      </c>
      <c r="C635" s="48" t="str">
        <f ca="1">IFERROR(__xludf.DUMMYFUNCTION("""COMPUTED_VALUE"""),"WISSMANN")</f>
        <v>WISSMANN</v>
      </c>
      <c r="D635" s="48" t="str">
        <f ca="1">IFERROR(__xludf.DUMMYFUNCTION("""COMPUTED_VALUE"""),"Raphael")</f>
        <v>Raphael</v>
      </c>
      <c r="E635" s="49" t="str">
        <f ca="1">IFERROR(__xludf.DUMMYFUNCTION("""COMPUTED_VALUE"""),"06670201")</f>
        <v>06670201</v>
      </c>
      <c r="F635" s="48" t="str">
        <f ca="1">IFERROR(__xludf.DUMMYFUNCTION("""COMPUTED_VALUE"""),"ESCHAU CTT")</f>
        <v>ESCHAU CTT</v>
      </c>
      <c r="G635" s="50" t="str">
        <f ca="1">IFERROR(__xludf.DUMMYFUNCTION("""COMPUTED_VALUE"""),"CD67")</f>
        <v>CD67</v>
      </c>
      <c r="H635" s="50" t="str">
        <f ca="1">IFERROR(__xludf.DUMMYFUNCTION("""COMPUTED_VALUE"""),"inactivité 1ère année")</f>
        <v>inactivité 1ère année</v>
      </c>
    </row>
    <row r="636" spans="1:8" ht="12.75">
      <c r="A636" s="46">
        <f ca="1">IFERROR(__xludf.DUMMYFUNCTION("""COMPUTED_VALUE"""),624)</f>
        <v>624</v>
      </c>
      <c r="B636" s="65" t="str">
        <f ca="1">IFERROR(__xludf.DUMMYFUNCTION("""COMPUTED_VALUE"""),"557350")</f>
        <v>557350</v>
      </c>
      <c r="C636" s="48" t="str">
        <f ca="1">IFERROR(__xludf.DUMMYFUNCTION("""COMPUTED_VALUE"""),"WITTMANN")</f>
        <v>WITTMANN</v>
      </c>
      <c r="D636" s="48" t="str">
        <f ca="1">IFERROR(__xludf.DUMMYFUNCTION("""COMPUTED_VALUE"""),"Jeremy")</f>
        <v>Jeremy</v>
      </c>
      <c r="E636" s="49" t="str">
        <f ca="1">IFERROR(__xludf.DUMMYFUNCTION("""COMPUTED_VALUE"""),"06540104")</f>
        <v>06540104</v>
      </c>
      <c r="F636" s="48" t="str">
        <f ca="1">IFERROR(__xludf.DUMMYFUNCTION("""COMPUTED_VALUE"""),"AUDUN LE ROMAN ASTT")</f>
        <v>AUDUN LE ROMAN ASTT</v>
      </c>
      <c r="G636" s="50" t="str">
        <f ca="1">IFERROR(__xludf.DUMMYFUNCTION("""COMPUTED_VALUE"""),"CD54")</f>
        <v>CD54</v>
      </c>
      <c r="H636" s="50" t="str">
        <f ca="1">IFERROR(__xludf.DUMMYFUNCTION("""COMPUTED_VALUE"""),"inactivité 2ème année")</f>
        <v>inactivité 2ème année</v>
      </c>
    </row>
    <row r="637" spans="1:8" ht="12.75">
      <c r="A637" s="46">
        <f ca="1">IFERROR(__xludf.DUMMYFUNCTION("""COMPUTED_VALUE"""),625)</f>
        <v>625</v>
      </c>
      <c r="B637" s="65" t="str">
        <f ca="1">IFERROR(__xludf.DUMMYFUNCTION("""COMPUTED_VALUE"""),"685386")</f>
        <v>685386</v>
      </c>
      <c r="C637" s="48" t="str">
        <f ca="1">IFERROR(__xludf.DUMMYFUNCTION("""COMPUTED_VALUE"""),"WOELFLI")</f>
        <v>WOELFLI</v>
      </c>
      <c r="D637" s="48" t="str">
        <f ca="1">IFERROR(__xludf.DUMMYFUNCTION("""COMPUTED_VALUE"""),"Auguste")</f>
        <v>Auguste</v>
      </c>
      <c r="E637" s="49" t="str">
        <f ca="1">IFERROR(__xludf.DUMMYFUNCTION("""COMPUTED_VALUE"""),"06680091")</f>
        <v>06680091</v>
      </c>
      <c r="F637" s="48" t="str">
        <f ca="1">IFERROR(__xludf.DUMMYFUNCTION("""COMPUTED_VALUE"""),"ILLZACH TTSJB")</f>
        <v>ILLZACH TTSJB</v>
      </c>
      <c r="G637" s="50" t="str">
        <f ca="1">IFERROR(__xludf.DUMMYFUNCTION("""COMPUTED_VALUE"""),"CD68")</f>
        <v>CD68</v>
      </c>
      <c r="H637" s="50" t="str">
        <f ca="1">IFERROR(__xludf.DUMMYFUNCTION("""COMPUTED_VALUE"""),"actif")</f>
        <v>actif</v>
      </c>
    </row>
    <row r="638" spans="1:8" ht="12.75">
      <c r="A638" s="46">
        <f ca="1">IFERROR(__xludf.DUMMYFUNCTION("""COMPUTED_VALUE"""),626)</f>
        <v>626</v>
      </c>
      <c r="B638" s="65" t="str">
        <f ca="1">IFERROR(__xludf.DUMMYFUNCTION("""COMPUTED_VALUE"""),"686947")</f>
        <v>686947</v>
      </c>
      <c r="C638" s="48" t="str">
        <f ca="1">IFERROR(__xludf.DUMMYFUNCTION("""COMPUTED_VALUE"""),"WOGENSTAHL")</f>
        <v>WOGENSTAHL</v>
      </c>
      <c r="D638" s="48" t="str">
        <f ca="1">IFERROR(__xludf.DUMMYFUNCTION("""COMPUTED_VALUE"""),"Steve")</f>
        <v>Steve</v>
      </c>
      <c r="E638" s="49" t="str">
        <f ca="1">IFERROR(__xludf.DUMMYFUNCTION("""COMPUTED_VALUE"""),"06680125")</f>
        <v>06680125</v>
      </c>
      <c r="F638" s="48" t="str">
        <f ca="1">IFERROR(__xludf.DUMMYFUNCTION("""COMPUTED_VALUE"""),"ROSENAU TT")</f>
        <v>ROSENAU TT</v>
      </c>
      <c r="G638" s="50" t="str">
        <f ca="1">IFERROR(__xludf.DUMMYFUNCTION("""COMPUTED_VALUE"""),"CD68")</f>
        <v>CD68</v>
      </c>
      <c r="H638" s="50" t="str">
        <f ca="1">IFERROR(__xludf.DUMMYFUNCTION("""COMPUTED_VALUE"""),"inactivité 1ère année")</f>
        <v>inactivité 1ère année</v>
      </c>
    </row>
    <row r="639" spans="1:8" ht="12.75">
      <c r="A639" s="46">
        <f ca="1">IFERROR(__xludf.DUMMYFUNCTION("""COMPUTED_VALUE"""),627)</f>
        <v>627</v>
      </c>
      <c r="B639" s="65" t="str">
        <f ca="1">IFERROR(__xludf.DUMMYFUNCTION("""COMPUTED_VALUE"""),"105079")</f>
        <v>105079</v>
      </c>
      <c r="C639" s="48" t="str">
        <f ca="1">IFERROR(__xludf.DUMMYFUNCTION("""COMPUTED_VALUE"""),"WORONOVYCZ")</f>
        <v>WORONOVYCZ</v>
      </c>
      <c r="D639" s="48" t="str">
        <f ca="1">IFERROR(__xludf.DUMMYFUNCTION("""COMPUTED_VALUE"""),"Joris")</f>
        <v>Joris</v>
      </c>
      <c r="E639" s="49" t="str">
        <f ca="1">IFERROR(__xludf.DUMMYFUNCTION("""COMPUTED_VALUE"""),"06100004")</f>
        <v>06100004</v>
      </c>
      <c r="F639" s="48" t="str">
        <f ca="1">IFERROR(__xludf.DUMMYFUNCTION("""COMPUTED_VALUE"""),"MOUSSEY CS")</f>
        <v>MOUSSEY CS</v>
      </c>
      <c r="G639" s="50" t="str">
        <f ca="1">IFERROR(__xludf.DUMMYFUNCTION("""COMPUTED_VALUE"""),"CD10")</f>
        <v>CD10</v>
      </c>
      <c r="H639" s="50" t="str">
        <f ca="1">IFERROR(__xludf.DUMMYFUNCTION("""COMPUTED_VALUE"""),"inactivité 1ère année")</f>
        <v>inactivité 1ère année</v>
      </c>
    </row>
    <row r="640" spans="1:8" ht="12.75">
      <c r="A640" s="46">
        <f ca="1">IFERROR(__xludf.DUMMYFUNCTION("""COMPUTED_VALUE"""),628)</f>
        <v>628</v>
      </c>
      <c r="B640" s="65" t="str">
        <f ca="1">IFERROR(__xludf.DUMMYFUNCTION("""COMPUTED_VALUE"""),"936993")</f>
        <v>936993</v>
      </c>
      <c r="C640" s="48" t="str">
        <f ca="1">IFERROR(__xludf.DUMMYFUNCTION("""COMPUTED_VALUE"""),"YONG")</f>
        <v>YONG</v>
      </c>
      <c r="D640" s="48" t="str">
        <f ca="1">IFERROR(__xludf.DUMMYFUNCTION("""COMPUTED_VALUE"""),"Denis")</f>
        <v>Denis</v>
      </c>
      <c r="E640" s="49" t="str">
        <f ca="1">IFERROR(__xludf.DUMMYFUNCTION("""COMPUTED_VALUE"""),"06670160")</f>
        <v>06670160</v>
      </c>
      <c r="F640" s="48" t="str">
        <f ca="1">IFERROR(__xludf.DUMMYFUNCTION("""COMPUTED_VALUE"""),"T.T.Haguenau Wissembourg")</f>
        <v>T.T.Haguenau Wissembourg</v>
      </c>
      <c r="G640" s="50" t="str">
        <f ca="1">IFERROR(__xludf.DUMMYFUNCTION("""COMPUTED_VALUE"""),"CD67")</f>
        <v>CD67</v>
      </c>
      <c r="H640" s="50" t="str">
        <f ca="1">IFERROR(__xludf.DUMMYFUNCTION("""COMPUTED_VALUE"""),"inactivité 2ème année")</f>
        <v>inactivité 2ème année</v>
      </c>
    </row>
    <row r="641" spans="1:8" ht="12.75">
      <c r="A641" s="46">
        <f ca="1">IFERROR(__xludf.DUMMYFUNCTION("""COMPUTED_VALUE"""),629)</f>
        <v>629</v>
      </c>
      <c r="B641" s="65" t="str">
        <f ca="1">IFERROR(__xludf.DUMMYFUNCTION("""COMPUTED_VALUE"""),"5718257")</f>
        <v>5718257</v>
      </c>
      <c r="C641" s="48" t="str">
        <f ca="1">IFERROR(__xludf.DUMMYFUNCTION("""COMPUTED_VALUE"""),"ZAMPIERI")</f>
        <v>ZAMPIERI</v>
      </c>
      <c r="D641" s="48" t="str">
        <f ca="1">IFERROR(__xludf.DUMMYFUNCTION("""COMPUTED_VALUE"""),"Frederic")</f>
        <v>Frederic</v>
      </c>
      <c r="E641" s="49" t="str">
        <f ca="1">IFERROR(__xludf.DUMMYFUNCTION("""COMPUTED_VALUE"""),"06570015")</f>
        <v>06570015</v>
      </c>
      <c r="F641" s="48" t="str">
        <f ca="1">IFERROR(__xludf.DUMMYFUNCTION("""COMPUTED_VALUE"""),"MONTIGNY LES METZ T.T.")</f>
        <v>MONTIGNY LES METZ T.T.</v>
      </c>
      <c r="G641" s="50" t="str">
        <f ca="1">IFERROR(__xludf.DUMMYFUNCTION("""COMPUTED_VALUE"""),"CD57")</f>
        <v>CD57</v>
      </c>
      <c r="H641" s="50" t="str">
        <f ca="1">IFERROR(__xludf.DUMMYFUNCTION("""COMPUTED_VALUE"""),"inactivité 2ème année")</f>
        <v>inactivité 2ème année</v>
      </c>
    </row>
    <row r="642" spans="1:8" ht="12.75">
      <c r="A642" s="46">
        <f ca="1">IFERROR(__xludf.DUMMYFUNCTION("""COMPUTED_VALUE"""),630)</f>
        <v>630</v>
      </c>
      <c r="B642" s="65" t="str">
        <f ca="1">IFERROR(__xludf.DUMMYFUNCTION("""COMPUTED_VALUE"""),"6724209")</f>
        <v>6724209</v>
      </c>
      <c r="C642" s="48" t="str">
        <f ca="1">IFERROR(__xludf.DUMMYFUNCTION("""COMPUTED_VALUE"""),"ZEIGER")</f>
        <v>ZEIGER</v>
      </c>
      <c r="D642" s="48" t="str">
        <f ca="1">IFERROR(__xludf.DUMMYFUNCTION("""COMPUTED_VALUE"""),"Maxime")</f>
        <v>Maxime</v>
      </c>
      <c r="E642" s="49" t="str">
        <f ca="1">IFERROR(__xludf.DUMMYFUNCTION("""COMPUTED_VALUE"""),"06670122")</f>
        <v>06670122</v>
      </c>
      <c r="F642" s="48" t="str">
        <f ca="1">IFERROR(__xludf.DUMMYFUNCTION("""COMPUTED_VALUE"""),"OBERNAI CA")</f>
        <v>OBERNAI CA</v>
      </c>
      <c r="G642" s="50" t="str">
        <f ca="1">IFERROR(__xludf.DUMMYFUNCTION("""COMPUTED_VALUE"""),"CD67")</f>
        <v>CD67</v>
      </c>
      <c r="H642" s="50" t="str">
        <f ca="1">IFERROR(__xludf.DUMMYFUNCTION("""COMPUTED_VALUE"""),"inactivité 1ère année")</f>
        <v>inactivité 1ère année</v>
      </c>
    </row>
    <row r="643" spans="1:8" ht="12.75">
      <c r="A643" s="46">
        <f ca="1">IFERROR(__xludf.DUMMYFUNCTION("""COMPUTED_VALUE"""),631)</f>
        <v>631</v>
      </c>
      <c r="B643" s="65" t="str">
        <f ca="1">IFERROR(__xludf.DUMMYFUNCTION("""COMPUTED_VALUE"""),"679398")</f>
        <v>679398</v>
      </c>
      <c r="C643" s="48" t="str">
        <f ca="1">IFERROR(__xludf.DUMMYFUNCTION("""COMPUTED_VALUE"""),"ZICKLER")</f>
        <v>ZICKLER</v>
      </c>
      <c r="D643" s="48" t="str">
        <f ca="1">IFERROR(__xludf.DUMMYFUNCTION("""COMPUTED_VALUE"""),"Etienne")</f>
        <v>Etienne</v>
      </c>
      <c r="E643" s="49" t="str">
        <f ca="1">IFERROR(__xludf.DUMMYFUNCTION("""COMPUTED_VALUE"""),"06670221")</f>
        <v>06670221</v>
      </c>
      <c r="F643" s="48" t="str">
        <f ca="1">IFERROR(__xludf.DUMMYFUNCTION("""COMPUTED_VALUE"""),"BARR Tennis de Table")</f>
        <v>BARR Tennis de Table</v>
      </c>
      <c r="G643" s="50" t="str">
        <f ca="1">IFERROR(__xludf.DUMMYFUNCTION("""COMPUTED_VALUE"""),"CD67")</f>
        <v>CD67</v>
      </c>
      <c r="H643" s="50" t="str">
        <f ca="1">IFERROR(__xludf.DUMMYFUNCTION("""COMPUTED_VALUE"""),"inactivité 2ème année")</f>
        <v>inactivité 2ème année</v>
      </c>
    </row>
    <row r="644" spans="1:8" ht="12.75">
      <c r="A644" s="46">
        <f ca="1">IFERROR(__xludf.DUMMYFUNCTION("""COMPUTED_VALUE"""),632)</f>
        <v>632</v>
      </c>
      <c r="B644" s="65" t="str">
        <f ca="1">IFERROR(__xludf.DUMMYFUNCTION("""COMPUTED_VALUE"""),"5712948")</f>
        <v>5712948</v>
      </c>
      <c r="C644" s="48" t="str">
        <f ca="1">IFERROR(__xludf.DUMMYFUNCTION("""COMPUTED_VALUE"""),"ZIEGELMEYER")</f>
        <v>ZIEGELMEYER</v>
      </c>
      <c r="D644" s="48" t="str">
        <f ca="1">IFERROR(__xludf.DUMMYFUNCTION("""COMPUTED_VALUE"""),"Joël")</f>
        <v>Joël</v>
      </c>
      <c r="E644" s="49" t="str">
        <f ca="1">IFERROR(__xludf.DUMMYFUNCTION("""COMPUTED_VALUE"""),"06570174")</f>
        <v>06570174</v>
      </c>
      <c r="F644" s="48" t="str">
        <f ca="1">IFERROR(__xludf.DUMMYFUNCTION("""COMPUTED_VALUE"""),"BERTRANGE-DISTROFF TT")</f>
        <v>BERTRANGE-DISTROFF TT</v>
      </c>
      <c r="G644" s="50" t="str">
        <f ca="1">IFERROR(__xludf.DUMMYFUNCTION("""COMPUTED_VALUE"""),"CD57")</f>
        <v>CD57</v>
      </c>
      <c r="H644" s="50" t="str">
        <f ca="1">IFERROR(__xludf.DUMMYFUNCTION("""COMPUTED_VALUE"""),"inactivité 1ère année")</f>
        <v>inactivité 1ère année</v>
      </c>
    </row>
    <row r="645" spans="1:8" ht="12.75">
      <c r="A645" s="46">
        <f ca="1">IFERROR(__xludf.DUMMYFUNCTION("""COMPUTED_VALUE"""),633)</f>
        <v>633</v>
      </c>
      <c r="B645" s="65" t="str">
        <f ca="1">IFERROR(__xludf.DUMMYFUNCTION("""COMPUTED_VALUE"""),"6729992")</f>
        <v>6729992</v>
      </c>
      <c r="C645" s="48" t="str">
        <f ca="1">IFERROR(__xludf.DUMMYFUNCTION("""COMPUTED_VALUE"""),"ZIEGLER")</f>
        <v>ZIEGLER</v>
      </c>
      <c r="D645" s="48" t="str">
        <f ca="1">IFERROR(__xludf.DUMMYFUNCTION("""COMPUTED_VALUE"""),"Damien")</f>
        <v>Damien</v>
      </c>
      <c r="E645" s="49" t="str">
        <f ca="1">IFERROR(__xludf.DUMMYFUNCTION("""COMPUTED_VALUE"""),"06670160")</f>
        <v>06670160</v>
      </c>
      <c r="F645" s="48" t="str">
        <f ca="1">IFERROR(__xludf.DUMMYFUNCTION("""COMPUTED_VALUE"""),"T.T.Haguenau Wissembourg")</f>
        <v>T.T.Haguenau Wissembourg</v>
      </c>
      <c r="G645" s="50" t="str">
        <f ca="1">IFERROR(__xludf.DUMMYFUNCTION("""COMPUTED_VALUE"""),"CD67")</f>
        <v>CD67</v>
      </c>
      <c r="H645" s="50" t="str">
        <f ca="1">IFERROR(__xludf.DUMMYFUNCTION("""COMPUTED_VALUE"""),"actif")</f>
        <v>actif</v>
      </c>
    </row>
    <row r="646" spans="1:8" ht="12.75">
      <c r="A646" s="46">
        <f ca="1">IFERROR(__xludf.DUMMYFUNCTION("""COMPUTED_VALUE"""),634)</f>
        <v>634</v>
      </c>
      <c r="B646" s="65" t="str">
        <f ca="1">IFERROR(__xludf.DUMMYFUNCTION("""COMPUTED_VALUE"""),"525152")</f>
        <v>525152</v>
      </c>
      <c r="C646" s="48" t="str">
        <f ca="1">IFERROR(__xludf.DUMMYFUNCTION("""COMPUTED_VALUE"""),"ZOL")</f>
        <v>ZOL</v>
      </c>
      <c r="D646" s="48" t="str">
        <f ca="1">IFERROR(__xludf.DUMMYFUNCTION("""COMPUTED_VALUE"""),"Hélène")</f>
        <v>Hélène</v>
      </c>
      <c r="E646" s="49" t="str">
        <f ca="1">IFERROR(__xludf.DUMMYFUNCTION("""COMPUTED_VALUE"""),"06520003")</f>
        <v>06520003</v>
      </c>
      <c r="F646" s="48" t="str">
        <f ca="1">IFERROR(__xludf.DUMMYFUNCTION("""COMPUTED_VALUE"""),"EURVILLE BIENVILLE Jeunes")</f>
        <v>EURVILLE BIENVILLE Jeunes</v>
      </c>
      <c r="G646" s="50" t="str">
        <f ca="1">IFERROR(__xludf.DUMMYFUNCTION("""COMPUTED_VALUE"""),"CD52")</f>
        <v>CD52</v>
      </c>
      <c r="H646" s="50" t="str">
        <f ca="1">IFERROR(__xludf.DUMMYFUNCTION("""COMPUTED_VALUE"""),"inactivité 1ère année")</f>
        <v>inactivité 1ère année</v>
      </c>
    </row>
    <row r="647" spans="1:8" ht="12.75">
      <c r="A647" s="46" t="str">
        <f ca="1">IFERROR(__xludf.DUMMYFUNCTION("""COMPUTED_VALUE"""),"")</f>
        <v/>
      </c>
      <c r="B647" s="50"/>
      <c r="C647" s="48" t="str">
        <f ca="1">IFERROR(__xludf.DUMMYFUNCTION("""COMPUTED_VALUE"""),"")</f>
        <v/>
      </c>
      <c r="D647" s="48" t="str">
        <f ca="1">IFERROR(__xludf.DUMMYFUNCTION("""COMPUTED_VALUE"""),"")</f>
        <v/>
      </c>
      <c r="E647" s="49" t="str">
        <f ca="1">IFERROR(__xludf.DUMMYFUNCTION("""COMPUTED_VALUE"""),"")</f>
        <v/>
      </c>
      <c r="F647" s="48" t="str">
        <f ca="1">IFERROR(__xludf.DUMMYFUNCTION("""COMPUTED_VALUE"""),"")</f>
        <v/>
      </c>
      <c r="G647" s="50" t="str">
        <f ca="1">IFERROR(__xludf.DUMMYFUNCTION("""COMPUTED_VALUE"""),"")</f>
        <v/>
      </c>
      <c r="H647" s="50" t="str">
        <f ca="1">IFERROR(__xludf.DUMMYFUNCTION("""COMPUTED_VALUE"""),"")</f>
        <v/>
      </c>
    </row>
    <row r="648" spans="1:8" ht="12.75">
      <c r="A648" s="46" t="str">
        <f ca="1">IFERROR(__xludf.DUMMYFUNCTION("""COMPUTED_VALUE"""),"")</f>
        <v/>
      </c>
      <c r="B648" s="50"/>
      <c r="C648" s="48" t="str">
        <f ca="1">IFERROR(__xludf.DUMMYFUNCTION("""COMPUTED_VALUE"""),"")</f>
        <v/>
      </c>
      <c r="D648" s="48" t="str">
        <f ca="1">IFERROR(__xludf.DUMMYFUNCTION("""COMPUTED_VALUE"""),"")</f>
        <v/>
      </c>
      <c r="E648" s="49" t="str">
        <f ca="1">IFERROR(__xludf.DUMMYFUNCTION("""COMPUTED_VALUE"""),"")</f>
        <v/>
      </c>
      <c r="F648" s="48" t="str">
        <f ca="1">IFERROR(__xludf.DUMMYFUNCTION("""COMPUTED_VALUE"""),"")</f>
        <v/>
      </c>
      <c r="G648" s="50" t="str">
        <f ca="1">IFERROR(__xludf.DUMMYFUNCTION("""COMPUTED_VALUE"""),"")</f>
        <v/>
      </c>
      <c r="H648" s="50" t="str">
        <f ca="1">IFERROR(__xludf.DUMMYFUNCTION("""COMPUTED_VALUE"""),"")</f>
        <v/>
      </c>
    </row>
    <row r="649" spans="1:8" ht="12.75">
      <c r="A649" s="46" t="str">
        <f ca="1">IFERROR(__xludf.DUMMYFUNCTION("""COMPUTED_VALUE"""),"")</f>
        <v/>
      </c>
      <c r="B649" s="50"/>
      <c r="C649" s="48" t="str">
        <f ca="1">IFERROR(__xludf.DUMMYFUNCTION("""COMPUTED_VALUE"""),"")</f>
        <v/>
      </c>
      <c r="D649" s="48" t="str">
        <f ca="1">IFERROR(__xludf.DUMMYFUNCTION("""COMPUTED_VALUE"""),"")</f>
        <v/>
      </c>
      <c r="E649" s="49" t="str">
        <f ca="1">IFERROR(__xludf.DUMMYFUNCTION("""COMPUTED_VALUE"""),"")</f>
        <v/>
      </c>
      <c r="F649" s="48" t="str">
        <f ca="1">IFERROR(__xludf.DUMMYFUNCTION("""COMPUTED_VALUE"""),"")</f>
        <v/>
      </c>
      <c r="G649" s="50" t="str">
        <f ca="1">IFERROR(__xludf.DUMMYFUNCTION("""COMPUTED_VALUE"""),"")</f>
        <v/>
      </c>
      <c r="H649" s="50" t="str">
        <f ca="1">IFERROR(__xludf.DUMMYFUNCTION("""COMPUTED_VALUE"""),"")</f>
        <v/>
      </c>
    </row>
    <row r="650" spans="1:8" ht="12.75">
      <c r="A650" s="46" t="str">
        <f ca="1">IFERROR(__xludf.DUMMYFUNCTION("""COMPUTED_VALUE"""),"")</f>
        <v/>
      </c>
      <c r="B650" s="50"/>
      <c r="C650" s="48" t="str">
        <f ca="1">IFERROR(__xludf.DUMMYFUNCTION("""COMPUTED_VALUE"""),"")</f>
        <v/>
      </c>
      <c r="D650" s="48" t="str">
        <f ca="1">IFERROR(__xludf.DUMMYFUNCTION("""COMPUTED_VALUE"""),"")</f>
        <v/>
      </c>
      <c r="E650" s="49" t="str">
        <f ca="1">IFERROR(__xludf.DUMMYFUNCTION("""COMPUTED_VALUE"""),"")</f>
        <v/>
      </c>
      <c r="F650" s="48" t="str">
        <f ca="1">IFERROR(__xludf.DUMMYFUNCTION("""COMPUTED_VALUE"""),"")</f>
        <v/>
      </c>
      <c r="G650" s="50" t="str">
        <f ca="1">IFERROR(__xludf.DUMMYFUNCTION("""COMPUTED_VALUE"""),"")</f>
        <v/>
      </c>
      <c r="H650" s="50" t="str">
        <f ca="1">IFERROR(__xludf.DUMMYFUNCTION("""COMPUTED_VALUE"""),"")</f>
        <v/>
      </c>
    </row>
    <row r="651" spans="1:8" ht="12.75">
      <c r="A651" s="46" t="str">
        <f ca="1">IFERROR(__xludf.DUMMYFUNCTION("""COMPUTED_VALUE"""),"")</f>
        <v/>
      </c>
      <c r="B651" s="50"/>
      <c r="C651" s="48" t="str">
        <f ca="1">IFERROR(__xludf.DUMMYFUNCTION("""COMPUTED_VALUE"""),"")</f>
        <v/>
      </c>
      <c r="D651" s="48" t="str">
        <f ca="1">IFERROR(__xludf.DUMMYFUNCTION("""COMPUTED_VALUE"""),"")</f>
        <v/>
      </c>
      <c r="E651" s="49" t="str">
        <f ca="1">IFERROR(__xludf.DUMMYFUNCTION("""COMPUTED_VALUE"""),"")</f>
        <v/>
      </c>
      <c r="F651" s="48" t="str">
        <f ca="1">IFERROR(__xludf.DUMMYFUNCTION("""COMPUTED_VALUE"""),"")</f>
        <v/>
      </c>
      <c r="G651" s="50" t="str">
        <f ca="1">IFERROR(__xludf.DUMMYFUNCTION("""COMPUTED_VALUE"""),"")</f>
        <v/>
      </c>
      <c r="H651" s="50" t="str">
        <f ca="1">IFERROR(__xludf.DUMMYFUNCTION("""COMPUTED_VALUE"""),"")</f>
        <v/>
      </c>
    </row>
    <row r="652" spans="1:8" ht="12.75">
      <c r="A652" s="46" t="str">
        <f ca="1">IFERROR(__xludf.DUMMYFUNCTION("""COMPUTED_VALUE"""),"")</f>
        <v/>
      </c>
      <c r="B652" s="50"/>
      <c r="C652" s="48" t="str">
        <f ca="1">IFERROR(__xludf.DUMMYFUNCTION("""COMPUTED_VALUE"""),"")</f>
        <v/>
      </c>
      <c r="D652" s="48" t="str">
        <f ca="1">IFERROR(__xludf.DUMMYFUNCTION("""COMPUTED_VALUE"""),"")</f>
        <v/>
      </c>
      <c r="E652" s="49" t="str">
        <f ca="1">IFERROR(__xludf.DUMMYFUNCTION("""COMPUTED_VALUE"""),"")</f>
        <v/>
      </c>
      <c r="F652" s="48" t="str">
        <f ca="1">IFERROR(__xludf.DUMMYFUNCTION("""COMPUTED_VALUE"""),"")</f>
        <v/>
      </c>
      <c r="G652" s="50" t="str">
        <f ca="1">IFERROR(__xludf.DUMMYFUNCTION("""COMPUTED_VALUE"""),"")</f>
        <v/>
      </c>
      <c r="H652" s="50" t="str">
        <f ca="1">IFERROR(__xludf.DUMMYFUNCTION("""COMPUTED_VALUE"""),"")</f>
        <v/>
      </c>
    </row>
    <row r="653" spans="1:8" ht="12.75">
      <c r="A653" s="46" t="str">
        <f ca="1">IFERROR(__xludf.DUMMYFUNCTION("""COMPUTED_VALUE"""),"")</f>
        <v/>
      </c>
      <c r="B653" s="50"/>
      <c r="C653" s="48" t="str">
        <f ca="1">IFERROR(__xludf.DUMMYFUNCTION("""COMPUTED_VALUE"""),"")</f>
        <v/>
      </c>
      <c r="D653" s="48" t="str">
        <f ca="1">IFERROR(__xludf.DUMMYFUNCTION("""COMPUTED_VALUE"""),"")</f>
        <v/>
      </c>
      <c r="E653" s="49" t="str">
        <f ca="1">IFERROR(__xludf.DUMMYFUNCTION("""COMPUTED_VALUE"""),"")</f>
        <v/>
      </c>
      <c r="F653" s="48" t="str">
        <f ca="1">IFERROR(__xludf.DUMMYFUNCTION("""COMPUTED_VALUE"""),"")</f>
        <v/>
      </c>
      <c r="G653" s="50" t="str">
        <f ca="1">IFERROR(__xludf.DUMMYFUNCTION("""COMPUTED_VALUE"""),"")</f>
        <v/>
      </c>
      <c r="H653" s="50" t="str">
        <f ca="1">IFERROR(__xludf.DUMMYFUNCTION("""COMPUTED_VALUE"""),"")</f>
        <v/>
      </c>
    </row>
    <row r="654" spans="1:8" ht="12.75">
      <c r="A654" s="46" t="str">
        <f ca="1">IFERROR(__xludf.DUMMYFUNCTION("""COMPUTED_VALUE"""),"")</f>
        <v/>
      </c>
      <c r="B654" s="50"/>
      <c r="C654" s="48" t="str">
        <f ca="1">IFERROR(__xludf.DUMMYFUNCTION("""COMPUTED_VALUE"""),"")</f>
        <v/>
      </c>
      <c r="D654" s="48" t="str">
        <f ca="1">IFERROR(__xludf.DUMMYFUNCTION("""COMPUTED_VALUE"""),"")</f>
        <v/>
      </c>
      <c r="E654" s="49" t="str">
        <f ca="1">IFERROR(__xludf.DUMMYFUNCTION("""COMPUTED_VALUE"""),"")</f>
        <v/>
      </c>
      <c r="F654" s="48" t="str">
        <f ca="1">IFERROR(__xludf.DUMMYFUNCTION("""COMPUTED_VALUE"""),"")</f>
        <v/>
      </c>
      <c r="G654" s="50" t="str">
        <f ca="1">IFERROR(__xludf.DUMMYFUNCTION("""COMPUTED_VALUE"""),"")</f>
        <v/>
      </c>
      <c r="H654" s="50" t="str">
        <f ca="1">IFERROR(__xludf.DUMMYFUNCTION("""COMPUTED_VALUE"""),"")</f>
        <v/>
      </c>
    </row>
    <row r="655" spans="1:8" ht="12.75">
      <c r="A655" s="46" t="str">
        <f ca="1">IFERROR(__xludf.DUMMYFUNCTION("""COMPUTED_VALUE"""),"")</f>
        <v/>
      </c>
      <c r="B655" s="50"/>
      <c r="C655" s="48" t="str">
        <f ca="1">IFERROR(__xludf.DUMMYFUNCTION("""COMPUTED_VALUE"""),"")</f>
        <v/>
      </c>
      <c r="D655" s="48" t="str">
        <f ca="1">IFERROR(__xludf.DUMMYFUNCTION("""COMPUTED_VALUE"""),"")</f>
        <v/>
      </c>
      <c r="E655" s="49" t="str">
        <f ca="1">IFERROR(__xludf.DUMMYFUNCTION("""COMPUTED_VALUE"""),"")</f>
        <v/>
      </c>
      <c r="F655" s="48" t="str">
        <f ca="1">IFERROR(__xludf.DUMMYFUNCTION("""COMPUTED_VALUE"""),"")</f>
        <v/>
      </c>
      <c r="G655" s="50" t="str">
        <f ca="1">IFERROR(__xludf.DUMMYFUNCTION("""COMPUTED_VALUE"""),"")</f>
        <v/>
      </c>
      <c r="H655" s="50" t="str">
        <f ca="1">IFERROR(__xludf.DUMMYFUNCTION("""COMPUTED_VALUE"""),"")</f>
        <v/>
      </c>
    </row>
    <row r="656" spans="1:8" ht="12.75">
      <c r="A656" s="46" t="str">
        <f ca="1">IFERROR(__xludf.DUMMYFUNCTION("""COMPUTED_VALUE"""),"")</f>
        <v/>
      </c>
      <c r="B656" s="50"/>
      <c r="C656" s="48" t="str">
        <f ca="1">IFERROR(__xludf.DUMMYFUNCTION("""COMPUTED_VALUE"""),"")</f>
        <v/>
      </c>
      <c r="D656" s="48" t="str">
        <f ca="1">IFERROR(__xludf.DUMMYFUNCTION("""COMPUTED_VALUE"""),"")</f>
        <v/>
      </c>
      <c r="E656" s="49" t="str">
        <f ca="1">IFERROR(__xludf.DUMMYFUNCTION("""COMPUTED_VALUE"""),"")</f>
        <v/>
      </c>
      <c r="F656" s="48" t="str">
        <f ca="1">IFERROR(__xludf.DUMMYFUNCTION("""COMPUTED_VALUE"""),"")</f>
        <v/>
      </c>
      <c r="G656" s="50" t="str">
        <f ca="1">IFERROR(__xludf.DUMMYFUNCTION("""COMPUTED_VALUE"""),"")</f>
        <v/>
      </c>
      <c r="H656" s="50" t="str">
        <f ca="1">IFERROR(__xludf.DUMMYFUNCTION("""COMPUTED_VALUE"""),"")</f>
        <v/>
      </c>
    </row>
    <row r="657" spans="1:8" ht="12.75">
      <c r="A657" s="46" t="str">
        <f ca="1">IFERROR(__xludf.DUMMYFUNCTION("""COMPUTED_VALUE"""),"")</f>
        <v/>
      </c>
      <c r="B657" s="50"/>
      <c r="C657" s="48" t="str">
        <f ca="1">IFERROR(__xludf.DUMMYFUNCTION("""COMPUTED_VALUE"""),"")</f>
        <v/>
      </c>
      <c r="D657" s="48" t="str">
        <f ca="1">IFERROR(__xludf.DUMMYFUNCTION("""COMPUTED_VALUE"""),"")</f>
        <v/>
      </c>
      <c r="E657" s="49" t="str">
        <f ca="1">IFERROR(__xludf.DUMMYFUNCTION("""COMPUTED_VALUE"""),"")</f>
        <v/>
      </c>
      <c r="F657" s="48" t="str">
        <f ca="1">IFERROR(__xludf.DUMMYFUNCTION("""COMPUTED_VALUE"""),"")</f>
        <v/>
      </c>
      <c r="G657" s="50" t="str">
        <f ca="1">IFERROR(__xludf.DUMMYFUNCTION("""COMPUTED_VALUE"""),"")</f>
        <v/>
      </c>
      <c r="H657" s="50" t="str">
        <f ca="1">IFERROR(__xludf.DUMMYFUNCTION("""COMPUTED_VALUE"""),"")</f>
        <v/>
      </c>
    </row>
    <row r="658" spans="1:8" ht="12.75">
      <c r="A658" s="46" t="str">
        <f ca="1">IFERROR(__xludf.DUMMYFUNCTION("""COMPUTED_VALUE"""),"")</f>
        <v/>
      </c>
      <c r="B658" s="50"/>
      <c r="C658" s="48" t="str">
        <f ca="1">IFERROR(__xludf.DUMMYFUNCTION("""COMPUTED_VALUE"""),"")</f>
        <v/>
      </c>
      <c r="D658" s="48" t="str">
        <f ca="1">IFERROR(__xludf.DUMMYFUNCTION("""COMPUTED_VALUE"""),"")</f>
        <v/>
      </c>
      <c r="E658" s="49" t="str">
        <f ca="1">IFERROR(__xludf.DUMMYFUNCTION("""COMPUTED_VALUE"""),"")</f>
        <v/>
      </c>
      <c r="F658" s="48" t="str">
        <f ca="1">IFERROR(__xludf.DUMMYFUNCTION("""COMPUTED_VALUE"""),"")</f>
        <v/>
      </c>
      <c r="G658" s="50" t="str">
        <f ca="1">IFERROR(__xludf.DUMMYFUNCTION("""COMPUTED_VALUE"""),"")</f>
        <v/>
      </c>
      <c r="H658" s="50" t="str">
        <f ca="1">IFERROR(__xludf.DUMMYFUNCTION("""COMPUTED_VALUE"""),"")</f>
        <v/>
      </c>
    </row>
    <row r="659" spans="1:8" ht="12.75">
      <c r="A659" s="46" t="str">
        <f ca="1">IFERROR(__xludf.DUMMYFUNCTION("""COMPUTED_VALUE"""),"")</f>
        <v/>
      </c>
      <c r="B659" s="50"/>
      <c r="C659" s="48" t="str">
        <f ca="1">IFERROR(__xludf.DUMMYFUNCTION("""COMPUTED_VALUE"""),"")</f>
        <v/>
      </c>
      <c r="D659" s="48" t="str">
        <f ca="1">IFERROR(__xludf.DUMMYFUNCTION("""COMPUTED_VALUE"""),"")</f>
        <v/>
      </c>
      <c r="E659" s="49" t="str">
        <f ca="1">IFERROR(__xludf.DUMMYFUNCTION("""COMPUTED_VALUE"""),"")</f>
        <v/>
      </c>
      <c r="F659" s="48" t="str">
        <f ca="1">IFERROR(__xludf.DUMMYFUNCTION("""COMPUTED_VALUE"""),"")</f>
        <v/>
      </c>
      <c r="G659" s="50" t="str">
        <f ca="1">IFERROR(__xludf.DUMMYFUNCTION("""COMPUTED_VALUE"""),"")</f>
        <v/>
      </c>
      <c r="H659" s="50" t="str">
        <f ca="1">IFERROR(__xludf.DUMMYFUNCTION("""COMPUTED_VALUE"""),"")</f>
        <v/>
      </c>
    </row>
    <row r="660" spans="1:8" ht="12.75">
      <c r="A660" s="46" t="str">
        <f ca="1">IFERROR(__xludf.DUMMYFUNCTION("""COMPUTED_VALUE"""),"")</f>
        <v/>
      </c>
      <c r="B660" s="50"/>
      <c r="C660" s="48" t="str">
        <f ca="1">IFERROR(__xludf.DUMMYFUNCTION("""COMPUTED_VALUE"""),"")</f>
        <v/>
      </c>
      <c r="D660" s="48" t="str">
        <f ca="1">IFERROR(__xludf.DUMMYFUNCTION("""COMPUTED_VALUE"""),"")</f>
        <v/>
      </c>
      <c r="E660" s="49" t="str">
        <f ca="1">IFERROR(__xludf.DUMMYFUNCTION("""COMPUTED_VALUE"""),"")</f>
        <v/>
      </c>
      <c r="F660" s="48" t="str">
        <f ca="1">IFERROR(__xludf.DUMMYFUNCTION("""COMPUTED_VALUE"""),"")</f>
        <v/>
      </c>
      <c r="G660" s="50" t="str">
        <f ca="1">IFERROR(__xludf.DUMMYFUNCTION("""COMPUTED_VALUE"""),"")</f>
        <v/>
      </c>
      <c r="H660" s="50" t="str">
        <f ca="1">IFERROR(__xludf.DUMMYFUNCTION("""COMPUTED_VALUE"""),"")</f>
        <v/>
      </c>
    </row>
    <row r="661" spans="1:8" ht="12.75">
      <c r="A661" s="46" t="str">
        <f ca="1">IFERROR(__xludf.DUMMYFUNCTION("""COMPUTED_VALUE"""),"")</f>
        <v/>
      </c>
      <c r="B661" s="50"/>
      <c r="C661" s="48" t="str">
        <f ca="1">IFERROR(__xludf.DUMMYFUNCTION("""COMPUTED_VALUE"""),"")</f>
        <v/>
      </c>
      <c r="D661" s="48" t="str">
        <f ca="1">IFERROR(__xludf.DUMMYFUNCTION("""COMPUTED_VALUE"""),"")</f>
        <v/>
      </c>
      <c r="E661" s="49" t="str">
        <f ca="1">IFERROR(__xludf.DUMMYFUNCTION("""COMPUTED_VALUE"""),"")</f>
        <v/>
      </c>
      <c r="F661" s="48" t="str">
        <f ca="1">IFERROR(__xludf.DUMMYFUNCTION("""COMPUTED_VALUE"""),"")</f>
        <v/>
      </c>
      <c r="G661" s="50" t="str">
        <f ca="1">IFERROR(__xludf.DUMMYFUNCTION("""COMPUTED_VALUE"""),"")</f>
        <v/>
      </c>
      <c r="H661" s="50" t="str">
        <f ca="1">IFERROR(__xludf.DUMMYFUNCTION("""COMPUTED_VALUE"""),"")</f>
        <v/>
      </c>
    </row>
    <row r="662" spans="1:8" ht="12.75">
      <c r="A662" s="46" t="str">
        <f ca="1">IFERROR(__xludf.DUMMYFUNCTION("""COMPUTED_VALUE"""),"")</f>
        <v/>
      </c>
      <c r="B662" s="50"/>
      <c r="C662" s="48" t="str">
        <f ca="1">IFERROR(__xludf.DUMMYFUNCTION("""COMPUTED_VALUE"""),"")</f>
        <v/>
      </c>
      <c r="D662" s="48" t="str">
        <f ca="1">IFERROR(__xludf.DUMMYFUNCTION("""COMPUTED_VALUE"""),"")</f>
        <v/>
      </c>
      <c r="E662" s="49" t="str">
        <f ca="1">IFERROR(__xludf.DUMMYFUNCTION("""COMPUTED_VALUE"""),"")</f>
        <v/>
      </c>
      <c r="F662" s="48" t="str">
        <f ca="1">IFERROR(__xludf.DUMMYFUNCTION("""COMPUTED_VALUE"""),"")</f>
        <v/>
      </c>
      <c r="G662" s="50" t="str">
        <f ca="1">IFERROR(__xludf.DUMMYFUNCTION("""COMPUTED_VALUE"""),"")</f>
        <v/>
      </c>
      <c r="H662" s="50" t="str">
        <f ca="1">IFERROR(__xludf.DUMMYFUNCTION("""COMPUTED_VALUE"""),"")</f>
        <v/>
      </c>
    </row>
    <row r="663" spans="1:8" ht="12.75">
      <c r="A663" s="46" t="str">
        <f ca="1">IFERROR(__xludf.DUMMYFUNCTION("""COMPUTED_VALUE"""),"")</f>
        <v/>
      </c>
      <c r="B663" s="50"/>
      <c r="C663" s="48" t="str">
        <f ca="1">IFERROR(__xludf.DUMMYFUNCTION("""COMPUTED_VALUE"""),"")</f>
        <v/>
      </c>
      <c r="D663" s="48" t="str">
        <f ca="1">IFERROR(__xludf.DUMMYFUNCTION("""COMPUTED_VALUE"""),"")</f>
        <v/>
      </c>
      <c r="E663" s="49" t="str">
        <f ca="1">IFERROR(__xludf.DUMMYFUNCTION("""COMPUTED_VALUE"""),"")</f>
        <v/>
      </c>
      <c r="F663" s="48" t="str">
        <f ca="1">IFERROR(__xludf.DUMMYFUNCTION("""COMPUTED_VALUE"""),"")</f>
        <v/>
      </c>
      <c r="G663" s="50" t="str">
        <f ca="1">IFERROR(__xludf.DUMMYFUNCTION("""COMPUTED_VALUE"""),"")</f>
        <v/>
      </c>
      <c r="H663" s="50" t="str">
        <f ca="1">IFERROR(__xludf.DUMMYFUNCTION("""COMPUTED_VALUE"""),"")</f>
        <v/>
      </c>
    </row>
    <row r="664" spans="1:8" ht="12.75">
      <c r="A664" s="46" t="str">
        <f ca="1">IFERROR(__xludf.DUMMYFUNCTION("""COMPUTED_VALUE"""),"")</f>
        <v/>
      </c>
      <c r="B664" s="50"/>
      <c r="C664" s="48" t="str">
        <f ca="1">IFERROR(__xludf.DUMMYFUNCTION("""COMPUTED_VALUE"""),"")</f>
        <v/>
      </c>
      <c r="D664" s="48" t="str">
        <f ca="1">IFERROR(__xludf.DUMMYFUNCTION("""COMPUTED_VALUE"""),"")</f>
        <v/>
      </c>
      <c r="E664" s="49" t="str">
        <f ca="1">IFERROR(__xludf.DUMMYFUNCTION("""COMPUTED_VALUE"""),"")</f>
        <v/>
      </c>
      <c r="F664" s="48" t="str">
        <f ca="1">IFERROR(__xludf.DUMMYFUNCTION("""COMPUTED_VALUE"""),"")</f>
        <v/>
      </c>
      <c r="G664" s="50" t="str">
        <f ca="1">IFERROR(__xludf.DUMMYFUNCTION("""COMPUTED_VALUE"""),"")</f>
        <v/>
      </c>
      <c r="H664" s="50" t="str">
        <f ca="1">IFERROR(__xludf.DUMMYFUNCTION("""COMPUTED_VALUE"""),"")</f>
        <v/>
      </c>
    </row>
    <row r="665" spans="1:8" ht="12.75">
      <c r="A665" s="46" t="str">
        <f ca="1">IFERROR(__xludf.DUMMYFUNCTION("""COMPUTED_VALUE"""),"")</f>
        <v/>
      </c>
      <c r="B665" s="50"/>
      <c r="C665" s="48" t="str">
        <f ca="1">IFERROR(__xludf.DUMMYFUNCTION("""COMPUTED_VALUE"""),"")</f>
        <v/>
      </c>
      <c r="D665" s="48" t="str">
        <f ca="1">IFERROR(__xludf.DUMMYFUNCTION("""COMPUTED_VALUE"""),"")</f>
        <v/>
      </c>
      <c r="E665" s="49" t="str">
        <f ca="1">IFERROR(__xludf.DUMMYFUNCTION("""COMPUTED_VALUE"""),"")</f>
        <v/>
      </c>
      <c r="F665" s="48" t="str">
        <f ca="1">IFERROR(__xludf.DUMMYFUNCTION("""COMPUTED_VALUE"""),"")</f>
        <v/>
      </c>
      <c r="G665" s="50" t="str">
        <f ca="1">IFERROR(__xludf.DUMMYFUNCTION("""COMPUTED_VALUE"""),"")</f>
        <v/>
      </c>
      <c r="H665" s="50" t="str">
        <f ca="1">IFERROR(__xludf.DUMMYFUNCTION("""COMPUTED_VALUE"""),"")</f>
        <v/>
      </c>
    </row>
    <row r="666" spans="1:8" ht="12.75">
      <c r="A666" s="46" t="str">
        <f ca="1">IFERROR(__xludf.DUMMYFUNCTION("""COMPUTED_VALUE"""),"")</f>
        <v/>
      </c>
      <c r="B666" s="50"/>
      <c r="C666" s="48" t="str">
        <f ca="1">IFERROR(__xludf.DUMMYFUNCTION("""COMPUTED_VALUE"""),"")</f>
        <v/>
      </c>
      <c r="D666" s="48" t="str">
        <f ca="1">IFERROR(__xludf.DUMMYFUNCTION("""COMPUTED_VALUE"""),"")</f>
        <v/>
      </c>
      <c r="E666" s="49" t="str">
        <f ca="1">IFERROR(__xludf.DUMMYFUNCTION("""COMPUTED_VALUE"""),"")</f>
        <v/>
      </c>
      <c r="F666" s="48" t="str">
        <f ca="1">IFERROR(__xludf.DUMMYFUNCTION("""COMPUTED_VALUE"""),"")</f>
        <v/>
      </c>
      <c r="G666" s="50" t="str">
        <f ca="1">IFERROR(__xludf.DUMMYFUNCTION("""COMPUTED_VALUE"""),"")</f>
        <v/>
      </c>
      <c r="H666" s="50" t="str">
        <f ca="1">IFERROR(__xludf.DUMMYFUNCTION("""COMPUTED_VALUE"""),"")</f>
        <v/>
      </c>
    </row>
    <row r="667" spans="1:8" ht="12.75">
      <c r="A667" s="46" t="str">
        <f ca="1">IFERROR(__xludf.DUMMYFUNCTION("""COMPUTED_VALUE"""),"")</f>
        <v/>
      </c>
      <c r="B667" s="50"/>
      <c r="C667" s="48" t="str">
        <f ca="1">IFERROR(__xludf.DUMMYFUNCTION("""COMPUTED_VALUE"""),"")</f>
        <v/>
      </c>
      <c r="D667" s="48" t="str">
        <f ca="1">IFERROR(__xludf.DUMMYFUNCTION("""COMPUTED_VALUE"""),"")</f>
        <v/>
      </c>
      <c r="E667" s="49" t="str">
        <f ca="1">IFERROR(__xludf.DUMMYFUNCTION("""COMPUTED_VALUE"""),"")</f>
        <v/>
      </c>
      <c r="F667" s="48" t="str">
        <f ca="1">IFERROR(__xludf.DUMMYFUNCTION("""COMPUTED_VALUE"""),"")</f>
        <v/>
      </c>
      <c r="G667" s="50" t="str">
        <f ca="1">IFERROR(__xludf.DUMMYFUNCTION("""COMPUTED_VALUE"""),"")</f>
        <v/>
      </c>
      <c r="H667" s="50" t="str">
        <f ca="1">IFERROR(__xludf.DUMMYFUNCTION("""COMPUTED_VALUE"""),"")</f>
        <v/>
      </c>
    </row>
    <row r="668" spans="1:8" ht="12.75">
      <c r="A668" s="46" t="str">
        <f ca="1">IFERROR(__xludf.DUMMYFUNCTION("""COMPUTED_VALUE"""),"")</f>
        <v/>
      </c>
      <c r="B668" s="50"/>
      <c r="C668" s="48" t="str">
        <f ca="1">IFERROR(__xludf.DUMMYFUNCTION("""COMPUTED_VALUE"""),"")</f>
        <v/>
      </c>
      <c r="D668" s="48" t="str">
        <f ca="1">IFERROR(__xludf.DUMMYFUNCTION("""COMPUTED_VALUE"""),"")</f>
        <v/>
      </c>
      <c r="E668" s="49" t="str">
        <f ca="1">IFERROR(__xludf.DUMMYFUNCTION("""COMPUTED_VALUE"""),"")</f>
        <v/>
      </c>
      <c r="F668" s="48" t="str">
        <f ca="1">IFERROR(__xludf.DUMMYFUNCTION("""COMPUTED_VALUE"""),"")</f>
        <v/>
      </c>
      <c r="G668" s="50" t="str">
        <f ca="1">IFERROR(__xludf.DUMMYFUNCTION("""COMPUTED_VALUE"""),"")</f>
        <v/>
      </c>
      <c r="H668" s="50" t="str">
        <f ca="1">IFERROR(__xludf.DUMMYFUNCTION("""COMPUTED_VALUE"""),"")</f>
        <v/>
      </c>
    </row>
    <row r="669" spans="1:8" ht="12.75">
      <c r="A669" s="46" t="str">
        <f ca="1">IFERROR(__xludf.DUMMYFUNCTION("""COMPUTED_VALUE"""),"")</f>
        <v/>
      </c>
      <c r="B669" s="50"/>
      <c r="C669" s="48" t="str">
        <f ca="1">IFERROR(__xludf.DUMMYFUNCTION("""COMPUTED_VALUE"""),"")</f>
        <v/>
      </c>
      <c r="D669" s="48" t="str">
        <f ca="1">IFERROR(__xludf.DUMMYFUNCTION("""COMPUTED_VALUE"""),"")</f>
        <v/>
      </c>
      <c r="E669" s="49" t="str">
        <f ca="1">IFERROR(__xludf.DUMMYFUNCTION("""COMPUTED_VALUE"""),"")</f>
        <v/>
      </c>
      <c r="F669" s="48" t="str">
        <f ca="1">IFERROR(__xludf.DUMMYFUNCTION("""COMPUTED_VALUE"""),"")</f>
        <v/>
      </c>
      <c r="G669" s="50" t="str">
        <f ca="1">IFERROR(__xludf.DUMMYFUNCTION("""COMPUTED_VALUE"""),"")</f>
        <v/>
      </c>
      <c r="H669" s="50" t="str">
        <f ca="1">IFERROR(__xludf.DUMMYFUNCTION("""COMPUTED_VALUE"""),"")</f>
        <v/>
      </c>
    </row>
    <row r="670" spans="1:8" ht="12.75">
      <c r="A670" s="46" t="str">
        <f ca="1">IFERROR(__xludf.DUMMYFUNCTION("""COMPUTED_VALUE"""),"")</f>
        <v/>
      </c>
      <c r="B670" s="50"/>
      <c r="C670" s="48" t="str">
        <f ca="1">IFERROR(__xludf.DUMMYFUNCTION("""COMPUTED_VALUE"""),"")</f>
        <v/>
      </c>
      <c r="D670" s="48" t="str">
        <f ca="1">IFERROR(__xludf.DUMMYFUNCTION("""COMPUTED_VALUE"""),"")</f>
        <v/>
      </c>
      <c r="E670" s="49" t="str">
        <f ca="1">IFERROR(__xludf.DUMMYFUNCTION("""COMPUTED_VALUE"""),"")</f>
        <v/>
      </c>
      <c r="F670" s="48" t="str">
        <f ca="1">IFERROR(__xludf.DUMMYFUNCTION("""COMPUTED_VALUE"""),"")</f>
        <v/>
      </c>
      <c r="G670" s="50" t="str">
        <f ca="1">IFERROR(__xludf.DUMMYFUNCTION("""COMPUTED_VALUE"""),"")</f>
        <v/>
      </c>
      <c r="H670" s="50" t="str">
        <f ca="1">IFERROR(__xludf.DUMMYFUNCTION("""COMPUTED_VALUE"""),"")</f>
        <v/>
      </c>
    </row>
    <row r="671" spans="1:8" ht="12.75">
      <c r="A671" s="46" t="str">
        <f ca="1">IFERROR(__xludf.DUMMYFUNCTION("""COMPUTED_VALUE"""),"")</f>
        <v/>
      </c>
      <c r="B671" s="50"/>
      <c r="C671" s="48" t="str">
        <f ca="1">IFERROR(__xludf.DUMMYFUNCTION("""COMPUTED_VALUE"""),"")</f>
        <v/>
      </c>
      <c r="D671" s="48" t="str">
        <f ca="1">IFERROR(__xludf.DUMMYFUNCTION("""COMPUTED_VALUE"""),"")</f>
        <v/>
      </c>
      <c r="E671" s="49" t="str">
        <f ca="1">IFERROR(__xludf.DUMMYFUNCTION("""COMPUTED_VALUE"""),"")</f>
        <v/>
      </c>
      <c r="F671" s="48" t="str">
        <f ca="1">IFERROR(__xludf.DUMMYFUNCTION("""COMPUTED_VALUE"""),"")</f>
        <v/>
      </c>
      <c r="G671" s="50" t="str">
        <f ca="1">IFERROR(__xludf.DUMMYFUNCTION("""COMPUTED_VALUE"""),"")</f>
        <v/>
      </c>
      <c r="H671" s="50" t="str">
        <f ca="1">IFERROR(__xludf.DUMMYFUNCTION("""COMPUTED_VALUE"""),"")</f>
        <v/>
      </c>
    </row>
    <row r="672" spans="1:8" ht="12.75">
      <c r="A672" s="46" t="str">
        <f ca="1">IFERROR(__xludf.DUMMYFUNCTION("""COMPUTED_VALUE"""),"")</f>
        <v/>
      </c>
      <c r="B672" s="50"/>
      <c r="C672" s="48" t="str">
        <f ca="1">IFERROR(__xludf.DUMMYFUNCTION("""COMPUTED_VALUE"""),"")</f>
        <v/>
      </c>
      <c r="D672" s="48" t="str">
        <f ca="1">IFERROR(__xludf.DUMMYFUNCTION("""COMPUTED_VALUE"""),"")</f>
        <v/>
      </c>
      <c r="E672" s="49" t="str">
        <f ca="1">IFERROR(__xludf.DUMMYFUNCTION("""COMPUTED_VALUE"""),"")</f>
        <v/>
      </c>
      <c r="F672" s="48" t="str">
        <f ca="1">IFERROR(__xludf.DUMMYFUNCTION("""COMPUTED_VALUE"""),"")</f>
        <v/>
      </c>
      <c r="G672" s="50" t="str">
        <f ca="1">IFERROR(__xludf.DUMMYFUNCTION("""COMPUTED_VALUE"""),"")</f>
        <v/>
      </c>
      <c r="H672" s="50" t="str">
        <f ca="1">IFERROR(__xludf.DUMMYFUNCTION("""COMPUTED_VALUE"""),"")</f>
        <v/>
      </c>
    </row>
    <row r="673" spans="1:8" ht="12.75">
      <c r="A673" s="46" t="str">
        <f ca="1">IFERROR(__xludf.DUMMYFUNCTION("""COMPUTED_VALUE"""),"")</f>
        <v/>
      </c>
      <c r="B673" s="50"/>
      <c r="C673" s="48" t="str">
        <f ca="1">IFERROR(__xludf.DUMMYFUNCTION("""COMPUTED_VALUE"""),"")</f>
        <v/>
      </c>
      <c r="D673" s="48" t="str">
        <f ca="1">IFERROR(__xludf.DUMMYFUNCTION("""COMPUTED_VALUE"""),"")</f>
        <v/>
      </c>
      <c r="E673" s="49" t="str">
        <f ca="1">IFERROR(__xludf.DUMMYFUNCTION("""COMPUTED_VALUE"""),"")</f>
        <v/>
      </c>
      <c r="F673" s="48" t="str">
        <f ca="1">IFERROR(__xludf.DUMMYFUNCTION("""COMPUTED_VALUE"""),"")</f>
        <v/>
      </c>
      <c r="G673" s="50" t="str">
        <f ca="1">IFERROR(__xludf.DUMMYFUNCTION("""COMPUTED_VALUE"""),"")</f>
        <v/>
      </c>
      <c r="H673" s="50" t="str">
        <f ca="1">IFERROR(__xludf.DUMMYFUNCTION("""COMPUTED_VALUE"""),"")</f>
        <v/>
      </c>
    </row>
    <row r="674" spans="1:8" ht="12.75">
      <c r="A674" s="46" t="str">
        <f ca="1">IFERROR(__xludf.DUMMYFUNCTION("""COMPUTED_VALUE"""),"")</f>
        <v/>
      </c>
      <c r="B674" s="50"/>
      <c r="C674" s="48" t="str">
        <f ca="1">IFERROR(__xludf.DUMMYFUNCTION("""COMPUTED_VALUE"""),"")</f>
        <v/>
      </c>
      <c r="D674" s="48" t="str">
        <f ca="1">IFERROR(__xludf.DUMMYFUNCTION("""COMPUTED_VALUE"""),"")</f>
        <v/>
      </c>
      <c r="E674" s="49" t="str">
        <f ca="1">IFERROR(__xludf.DUMMYFUNCTION("""COMPUTED_VALUE"""),"")</f>
        <v/>
      </c>
      <c r="F674" s="48" t="str">
        <f ca="1">IFERROR(__xludf.DUMMYFUNCTION("""COMPUTED_VALUE"""),"")</f>
        <v/>
      </c>
      <c r="G674" s="50" t="str">
        <f ca="1">IFERROR(__xludf.DUMMYFUNCTION("""COMPUTED_VALUE"""),"")</f>
        <v/>
      </c>
      <c r="H674" s="50" t="str">
        <f ca="1">IFERROR(__xludf.DUMMYFUNCTION("""COMPUTED_VALUE"""),"")</f>
        <v/>
      </c>
    </row>
    <row r="675" spans="1:8" ht="12.75">
      <c r="A675" s="46" t="str">
        <f ca="1">IFERROR(__xludf.DUMMYFUNCTION("""COMPUTED_VALUE"""),"")</f>
        <v/>
      </c>
      <c r="B675" s="50"/>
      <c r="C675" s="48" t="str">
        <f ca="1">IFERROR(__xludf.DUMMYFUNCTION("""COMPUTED_VALUE"""),"")</f>
        <v/>
      </c>
      <c r="D675" s="48" t="str">
        <f ca="1">IFERROR(__xludf.DUMMYFUNCTION("""COMPUTED_VALUE"""),"")</f>
        <v/>
      </c>
      <c r="E675" s="49" t="str">
        <f ca="1">IFERROR(__xludf.DUMMYFUNCTION("""COMPUTED_VALUE"""),"")</f>
        <v/>
      </c>
      <c r="F675" s="48" t="str">
        <f ca="1">IFERROR(__xludf.DUMMYFUNCTION("""COMPUTED_VALUE"""),"")</f>
        <v/>
      </c>
      <c r="G675" s="50" t="str">
        <f ca="1">IFERROR(__xludf.DUMMYFUNCTION("""COMPUTED_VALUE"""),"")</f>
        <v/>
      </c>
      <c r="H675" s="50" t="str">
        <f ca="1">IFERROR(__xludf.DUMMYFUNCTION("""COMPUTED_VALUE"""),"")</f>
        <v/>
      </c>
    </row>
    <row r="676" spans="1:8" ht="12.75">
      <c r="A676" s="46" t="str">
        <f ca="1">IFERROR(__xludf.DUMMYFUNCTION("""COMPUTED_VALUE"""),"")</f>
        <v/>
      </c>
      <c r="B676" s="50"/>
      <c r="C676" s="48" t="str">
        <f ca="1">IFERROR(__xludf.DUMMYFUNCTION("""COMPUTED_VALUE"""),"")</f>
        <v/>
      </c>
      <c r="D676" s="48" t="str">
        <f ca="1">IFERROR(__xludf.DUMMYFUNCTION("""COMPUTED_VALUE"""),"")</f>
        <v/>
      </c>
      <c r="E676" s="49" t="str">
        <f ca="1">IFERROR(__xludf.DUMMYFUNCTION("""COMPUTED_VALUE"""),"")</f>
        <v/>
      </c>
      <c r="F676" s="48" t="str">
        <f ca="1">IFERROR(__xludf.DUMMYFUNCTION("""COMPUTED_VALUE"""),"")</f>
        <v/>
      </c>
      <c r="G676" s="50" t="str">
        <f ca="1">IFERROR(__xludf.DUMMYFUNCTION("""COMPUTED_VALUE"""),"")</f>
        <v/>
      </c>
      <c r="H676" s="50" t="str">
        <f ca="1">IFERROR(__xludf.DUMMYFUNCTION("""COMPUTED_VALUE"""),"")</f>
        <v/>
      </c>
    </row>
    <row r="677" spans="1:8" ht="12.75">
      <c r="A677" s="46" t="str">
        <f ca="1">IFERROR(__xludf.DUMMYFUNCTION("""COMPUTED_VALUE"""),"")</f>
        <v/>
      </c>
      <c r="B677" s="50"/>
      <c r="C677" s="48" t="str">
        <f ca="1">IFERROR(__xludf.DUMMYFUNCTION("""COMPUTED_VALUE"""),"")</f>
        <v/>
      </c>
      <c r="D677" s="48" t="str">
        <f ca="1">IFERROR(__xludf.DUMMYFUNCTION("""COMPUTED_VALUE"""),"")</f>
        <v/>
      </c>
      <c r="E677" s="49" t="str">
        <f ca="1">IFERROR(__xludf.DUMMYFUNCTION("""COMPUTED_VALUE"""),"")</f>
        <v/>
      </c>
      <c r="F677" s="48" t="str">
        <f ca="1">IFERROR(__xludf.DUMMYFUNCTION("""COMPUTED_VALUE"""),"")</f>
        <v/>
      </c>
      <c r="G677" s="50" t="str">
        <f ca="1">IFERROR(__xludf.DUMMYFUNCTION("""COMPUTED_VALUE"""),"")</f>
        <v/>
      </c>
      <c r="H677" s="50" t="str">
        <f ca="1">IFERROR(__xludf.DUMMYFUNCTION("""COMPUTED_VALUE"""),"")</f>
        <v/>
      </c>
    </row>
    <row r="678" spans="1:8" ht="12.75">
      <c r="A678" s="46" t="str">
        <f ca="1">IFERROR(__xludf.DUMMYFUNCTION("""COMPUTED_VALUE"""),"")</f>
        <v/>
      </c>
      <c r="B678" s="50"/>
      <c r="C678" s="48" t="str">
        <f ca="1">IFERROR(__xludf.DUMMYFUNCTION("""COMPUTED_VALUE"""),"")</f>
        <v/>
      </c>
      <c r="D678" s="48" t="str">
        <f ca="1">IFERROR(__xludf.DUMMYFUNCTION("""COMPUTED_VALUE"""),"")</f>
        <v/>
      </c>
      <c r="E678" s="49" t="str">
        <f ca="1">IFERROR(__xludf.DUMMYFUNCTION("""COMPUTED_VALUE"""),"")</f>
        <v/>
      </c>
      <c r="F678" s="48" t="str">
        <f ca="1">IFERROR(__xludf.DUMMYFUNCTION("""COMPUTED_VALUE"""),"")</f>
        <v/>
      </c>
      <c r="G678" s="50" t="str">
        <f ca="1">IFERROR(__xludf.DUMMYFUNCTION("""COMPUTED_VALUE"""),"")</f>
        <v/>
      </c>
      <c r="H678" s="50" t="str">
        <f ca="1">IFERROR(__xludf.DUMMYFUNCTION("""COMPUTED_VALUE"""),"")</f>
        <v/>
      </c>
    </row>
    <row r="679" spans="1:8" ht="12.75">
      <c r="A679" s="46" t="str">
        <f ca="1">IFERROR(__xludf.DUMMYFUNCTION("""COMPUTED_VALUE"""),"")</f>
        <v/>
      </c>
      <c r="B679" s="50"/>
      <c r="C679" s="48" t="str">
        <f ca="1">IFERROR(__xludf.DUMMYFUNCTION("""COMPUTED_VALUE"""),"")</f>
        <v/>
      </c>
      <c r="D679" s="48" t="str">
        <f ca="1">IFERROR(__xludf.DUMMYFUNCTION("""COMPUTED_VALUE"""),"")</f>
        <v/>
      </c>
      <c r="E679" s="49" t="str">
        <f ca="1">IFERROR(__xludf.DUMMYFUNCTION("""COMPUTED_VALUE"""),"")</f>
        <v/>
      </c>
      <c r="F679" s="48" t="str">
        <f ca="1">IFERROR(__xludf.DUMMYFUNCTION("""COMPUTED_VALUE"""),"")</f>
        <v/>
      </c>
      <c r="G679" s="50" t="str">
        <f ca="1">IFERROR(__xludf.DUMMYFUNCTION("""COMPUTED_VALUE"""),"")</f>
        <v/>
      </c>
      <c r="H679" s="50" t="str">
        <f ca="1">IFERROR(__xludf.DUMMYFUNCTION("""COMPUTED_VALUE"""),"")</f>
        <v/>
      </c>
    </row>
    <row r="680" spans="1:8" ht="12.75">
      <c r="A680" s="46" t="str">
        <f ca="1">IFERROR(__xludf.DUMMYFUNCTION("""COMPUTED_VALUE"""),"")</f>
        <v/>
      </c>
      <c r="B680" s="50"/>
      <c r="C680" s="48" t="str">
        <f ca="1">IFERROR(__xludf.DUMMYFUNCTION("""COMPUTED_VALUE"""),"")</f>
        <v/>
      </c>
      <c r="D680" s="48" t="str">
        <f ca="1">IFERROR(__xludf.DUMMYFUNCTION("""COMPUTED_VALUE"""),"")</f>
        <v/>
      </c>
      <c r="E680" s="49" t="str">
        <f ca="1">IFERROR(__xludf.DUMMYFUNCTION("""COMPUTED_VALUE"""),"")</f>
        <v/>
      </c>
      <c r="F680" s="48" t="str">
        <f ca="1">IFERROR(__xludf.DUMMYFUNCTION("""COMPUTED_VALUE"""),"")</f>
        <v/>
      </c>
      <c r="G680" s="50" t="str">
        <f ca="1">IFERROR(__xludf.DUMMYFUNCTION("""COMPUTED_VALUE"""),"")</f>
        <v/>
      </c>
      <c r="H680" s="50" t="str">
        <f ca="1">IFERROR(__xludf.DUMMYFUNCTION("""COMPUTED_VALUE"""),"")</f>
        <v/>
      </c>
    </row>
    <row r="681" spans="1:8" ht="12.75">
      <c r="A681" s="46" t="str">
        <f ca="1">IFERROR(__xludf.DUMMYFUNCTION("""COMPUTED_VALUE"""),"")</f>
        <v/>
      </c>
      <c r="B681" s="50"/>
      <c r="C681" s="48" t="str">
        <f ca="1">IFERROR(__xludf.DUMMYFUNCTION("""COMPUTED_VALUE"""),"")</f>
        <v/>
      </c>
      <c r="D681" s="48" t="str">
        <f ca="1">IFERROR(__xludf.DUMMYFUNCTION("""COMPUTED_VALUE"""),"")</f>
        <v/>
      </c>
      <c r="E681" s="49" t="str">
        <f ca="1">IFERROR(__xludf.DUMMYFUNCTION("""COMPUTED_VALUE"""),"")</f>
        <v/>
      </c>
      <c r="F681" s="48" t="str">
        <f ca="1">IFERROR(__xludf.DUMMYFUNCTION("""COMPUTED_VALUE"""),"")</f>
        <v/>
      </c>
      <c r="G681" s="50" t="str">
        <f ca="1">IFERROR(__xludf.DUMMYFUNCTION("""COMPUTED_VALUE"""),"")</f>
        <v/>
      </c>
      <c r="H681" s="50" t="str">
        <f ca="1">IFERROR(__xludf.DUMMYFUNCTION("""COMPUTED_VALUE"""),"")</f>
        <v/>
      </c>
    </row>
    <row r="682" spans="1:8" ht="12.75">
      <c r="A682" s="46" t="str">
        <f ca="1">IFERROR(__xludf.DUMMYFUNCTION("""COMPUTED_VALUE"""),"")</f>
        <v/>
      </c>
      <c r="B682" s="50"/>
      <c r="C682" s="48" t="str">
        <f ca="1">IFERROR(__xludf.DUMMYFUNCTION("""COMPUTED_VALUE"""),"")</f>
        <v/>
      </c>
      <c r="D682" s="48" t="str">
        <f ca="1">IFERROR(__xludf.DUMMYFUNCTION("""COMPUTED_VALUE"""),"")</f>
        <v/>
      </c>
      <c r="E682" s="49" t="str">
        <f ca="1">IFERROR(__xludf.DUMMYFUNCTION("""COMPUTED_VALUE"""),"")</f>
        <v/>
      </c>
      <c r="F682" s="48" t="str">
        <f ca="1">IFERROR(__xludf.DUMMYFUNCTION("""COMPUTED_VALUE"""),"")</f>
        <v/>
      </c>
      <c r="G682" s="50" t="str">
        <f ca="1">IFERROR(__xludf.DUMMYFUNCTION("""COMPUTED_VALUE"""),"")</f>
        <v/>
      </c>
      <c r="H682" s="50" t="str">
        <f ca="1">IFERROR(__xludf.DUMMYFUNCTION("""COMPUTED_VALUE"""),"")</f>
        <v/>
      </c>
    </row>
    <row r="683" spans="1:8" ht="12.75">
      <c r="A683" s="46" t="str">
        <f ca="1">IFERROR(__xludf.DUMMYFUNCTION("""COMPUTED_VALUE"""),"")</f>
        <v/>
      </c>
      <c r="B683" s="50"/>
      <c r="C683" s="48" t="str">
        <f ca="1">IFERROR(__xludf.DUMMYFUNCTION("""COMPUTED_VALUE"""),"")</f>
        <v/>
      </c>
      <c r="D683" s="48" t="str">
        <f ca="1">IFERROR(__xludf.DUMMYFUNCTION("""COMPUTED_VALUE"""),"")</f>
        <v/>
      </c>
      <c r="E683" s="49" t="str">
        <f ca="1">IFERROR(__xludf.DUMMYFUNCTION("""COMPUTED_VALUE"""),"")</f>
        <v/>
      </c>
      <c r="F683" s="48" t="str">
        <f ca="1">IFERROR(__xludf.DUMMYFUNCTION("""COMPUTED_VALUE"""),"")</f>
        <v/>
      </c>
      <c r="G683" s="50" t="str">
        <f ca="1">IFERROR(__xludf.DUMMYFUNCTION("""COMPUTED_VALUE"""),"")</f>
        <v/>
      </c>
      <c r="H683" s="50" t="str">
        <f ca="1">IFERROR(__xludf.DUMMYFUNCTION("""COMPUTED_VALUE"""),"")</f>
        <v/>
      </c>
    </row>
    <row r="684" spans="1:8" ht="12.75">
      <c r="A684" s="46" t="str">
        <f ca="1">IFERROR(__xludf.DUMMYFUNCTION("""COMPUTED_VALUE"""),"")</f>
        <v/>
      </c>
      <c r="B684" s="50"/>
      <c r="C684" s="48" t="str">
        <f ca="1">IFERROR(__xludf.DUMMYFUNCTION("""COMPUTED_VALUE"""),"")</f>
        <v/>
      </c>
      <c r="D684" s="48" t="str">
        <f ca="1">IFERROR(__xludf.DUMMYFUNCTION("""COMPUTED_VALUE"""),"")</f>
        <v/>
      </c>
      <c r="E684" s="49" t="str">
        <f ca="1">IFERROR(__xludf.DUMMYFUNCTION("""COMPUTED_VALUE"""),"")</f>
        <v/>
      </c>
      <c r="F684" s="48" t="str">
        <f ca="1">IFERROR(__xludf.DUMMYFUNCTION("""COMPUTED_VALUE"""),"")</f>
        <v/>
      </c>
      <c r="G684" s="50" t="str">
        <f ca="1">IFERROR(__xludf.DUMMYFUNCTION("""COMPUTED_VALUE"""),"")</f>
        <v/>
      </c>
      <c r="H684" s="50" t="str">
        <f ca="1">IFERROR(__xludf.DUMMYFUNCTION("""COMPUTED_VALUE"""),"")</f>
        <v/>
      </c>
    </row>
    <row r="685" spans="1:8" ht="12.75">
      <c r="A685" s="46" t="str">
        <f ca="1">IFERROR(__xludf.DUMMYFUNCTION("""COMPUTED_VALUE"""),"")</f>
        <v/>
      </c>
      <c r="B685" s="50"/>
      <c r="C685" s="48" t="str">
        <f ca="1">IFERROR(__xludf.DUMMYFUNCTION("""COMPUTED_VALUE"""),"")</f>
        <v/>
      </c>
      <c r="D685" s="48" t="str">
        <f ca="1">IFERROR(__xludf.DUMMYFUNCTION("""COMPUTED_VALUE"""),"")</f>
        <v/>
      </c>
      <c r="E685" s="49" t="str">
        <f ca="1">IFERROR(__xludf.DUMMYFUNCTION("""COMPUTED_VALUE"""),"")</f>
        <v/>
      </c>
      <c r="F685" s="48" t="str">
        <f ca="1">IFERROR(__xludf.DUMMYFUNCTION("""COMPUTED_VALUE"""),"")</f>
        <v/>
      </c>
      <c r="G685" s="50" t="str">
        <f ca="1">IFERROR(__xludf.DUMMYFUNCTION("""COMPUTED_VALUE"""),"")</f>
        <v/>
      </c>
      <c r="H685" s="50" t="str">
        <f ca="1">IFERROR(__xludf.DUMMYFUNCTION("""COMPUTED_VALUE"""),"")</f>
        <v/>
      </c>
    </row>
    <row r="686" spans="1:8" ht="12.75">
      <c r="A686" s="46" t="str">
        <f ca="1">IFERROR(__xludf.DUMMYFUNCTION("""COMPUTED_VALUE"""),"")</f>
        <v/>
      </c>
      <c r="B686" s="50"/>
      <c r="C686" s="48" t="str">
        <f ca="1">IFERROR(__xludf.DUMMYFUNCTION("""COMPUTED_VALUE"""),"")</f>
        <v/>
      </c>
      <c r="D686" s="48" t="str">
        <f ca="1">IFERROR(__xludf.DUMMYFUNCTION("""COMPUTED_VALUE"""),"")</f>
        <v/>
      </c>
      <c r="E686" s="49" t="str">
        <f ca="1">IFERROR(__xludf.DUMMYFUNCTION("""COMPUTED_VALUE"""),"")</f>
        <v/>
      </c>
      <c r="F686" s="48" t="str">
        <f ca="1">IFERROR(__xludf.DUMMYFUNCTION("""COMPUTED_VALUE"""),"")</f>
        <v/>
      </c>
      <c r="G686" s="50" t="str">
        <f ca="1">IFERROR(__xludf.DUMMYFUNCTION("""COMPUTED_VALUE"""),"")</f>
        <v/>
      </c>
      <c r="H686" s="50" t="str">
        <f ca="1">IFERROR(__xludf.DUMMYFUNCTION("""COMPUTED_VALUE"""),"")</f>
        <v/>
      </c>
    </row>
    <row r="687" spans="1:8" ht="12.75">
      <c r="A687" s="46" t="str">
        <f ca="1">IFERROR(__xludf.DUMMYFUNCTION("""COMPUTED_VALUE"""),"")</f>
        <v/>
      </c>
      <c r="B687" s="50"/>
      <c r="C687" s="48" t="str">
        <f ca="1">IFERROR(__xludf.DUMMYFUNCTION("""COMPUTED_VALUE"""),"")</f>
        <v/>
      </c>
      <c r="D687" s="48" t="str">
        <f ca="1">IFERROR(__xludf.DUMMYFUNCTION("""COMPUTED_VALUE"""),"")</f>
        <v/>
      </c>
      <c r="E687" s="49" t="str">
        <f ca="1">IFERROR(__xludf.DUMMYFUNCTION("""COMPUTED_VALUE"""),"")</f>
        <v/>
      </c>
      <c r="F687" s="48" t="str">
        <f ca="1">IFERROR(__xludf.DUMMYFUNCTION("""COMPUTED_VALUE"""),"")</f>
        <v/>
      </c>
      <c r="G687" s="50" t="str">
        <f ca="1">IFERROR(__xludf.DUMMYFUNCTION("""COMPUTED_VALUE"""),"")</f>
        <v/>
      </c>
      <c r="H687" s="50" t="str">
        <f ca="1">IFERROR(__xludf.DUMMYFUNCTION("""COMPUTED_VALUE"""),"")</f>
        <v/>
      </c>
    </row>
    <row r="688" spans="1:8" ht="12.75">
      <c r="A688" s="46" t="str">
        <f ca="1">IFERROR(__xludf.DUMMYFUNCTION("""COMPUTED_VALUE"""),"")</f>
        <v/>
      </c>
      <c r="B688" s="50"/>
      <c r="C688" s="48" t="str">
        <f ca="1">IFERROR(__xludf.DUMMYFUNCTION("""COMPUTED_VALUE"""),"")</f>
        <v/>
      </c>
      <c r="D688" s="48" t="str">
        <f ca="1">IFERROR(__xludf.DUMMYFUNCTION("""COMPUTED_VALUE"""),"")</f>
        <v/>
      </c>
      <c r="E688" s="49" t="str">
        <f ca="1">IFERROR(__xludf.DUMMYFUNCTION("""COMPUTED_VALUE"""),"")</f>
        <v/>
      </c>
      <c r="F688" s="48" t="str">
        <f ca="1">IFERROR(__xludf.DUMMYFUNCTION("""COMPUTED_VALUE"""),"")</f>
        <v/>
      </c>
      <c r="G688" s="50" t="str">
        <f ca="1">IFERROR(__xludf.DUMMYFUNCTION("""COMPUTED_VALUE"""),"")</f>
        <v/>
      </c>
      <c r="H688" s="50" t="str">
        <f ca="1">IFERROR(__xludf.DUMMYFUNCTION("""COMPUTED_VALUE"""),"")</f>
        <v/>
      </c>
    </row>
    <row r="689" spans="1:8" ht="12.75">
      <c r="A689" s="46" t="str">
        <f ca="1">IFERROR(__xludf.DUMMYFUNCTION("""COMPUTED_VALUE"""),"")</f>
        <v/>
      </c>
      <c r="B689" s="50"/>
      <c r="C689" s="48" t="str">
        <f ca="1">IFERROR(__xludf.DUMMYFUNCTION("""COMPUTED_VALUE"""),"")</f>
        <v/>
      </c>
      <c r="D689" s="48" t="str">
        <f ca="1">IFERROR(__xludf.DUMMYFUNCTION("""COMPUTED_VALUE"""),"")</f>
        <v/>
      </c>
      <c r="E689" s="49" t="str">
        <f ca="1">IFERROR(__xludf.DUMMYFUNCTION("""COMPUTED_VALUE"""),"")</f>
        <v/>
      </c>
      <c r="F689" s="48" t="str">
        <f ca="1">IFERROR(__xludf.DUMMYFUNCTION("""COMPUTED_VALUE"""),"")</f>
        <v/>
      </c>
      <c r="G689" s="50" t="str">
        <f ca="1">IFERROR(__xludf.DUMMYFUNCTION("""COMPUTED_VALUE"""),"")</f>
        <v/>
      </c>
      <c r="H689" s="50" t="str">
        <f ca="1">IFERROR(__xludf.DUMMYFUNCTION("""COMPUTED_VALUE"""),"")</f>
        <v/>
      </c>
    </row>
    <row r="690" spans="1:8" ht="12.75">
      <c r="A690" s="46" t="str">
        <f ca="1">IFERROR(__xludf.DUMMYFUNCTION("""COMPUTED_VALUE"""),"")</f>
        <v/>
      </c>
      <c r="B690" s="50"/>
      <c r="C690" s="48" t="str">
        <f ca="1">IFERROR(__xludf.DUMMYFUNCTION("""COMPUTED_VALUE"""),"")</f>
        <v/>
      </c>
      <c r="D690" s="48" t="str">
        <f ca="1">IFERROR(__xludf.DUMMYFUNCTION("""COMPUTED_VALUE"""),"")</f>
        <v/>
      </c>
      <c r="E690" s="49" t="str">
        <f ca="1">IFERROR(__xludf.DUMMYFUNCTION("""COMPUTED_VALUE"""),"")</f>
        <v/>
      </c>
      <c r="F690" s="48" t="str">
        <f ca="1">IFERROR(__xludf.DUMMYFUNCTION("""COMPUTED_VALUE"""),"")</f>
        <v/>
      </c>
      <c r="G690" s="50" t="str">
        <f ca="1">IFERROR(__xludf.DUMMYFUNCTION("""COMPUTED_VALUE"""),"")</f>
        <v/>
      </c>
      <c r="H690" s="50" t="str">
        <f ca="1">IFERROR(__xludf.DUMMYFUNCTION("""COMPUTED_VALUE"""),"")</f>
        <v/>
      </c>
    </row>
    <row r="691" spans="1:8" ht="12.75">
      <c r="A691" s="46" t="str">
        <f ca="1">IFERROR(__xludf.DUMMYFUNCTION("""COMPUTED_VALUE"""),"")</f>
        <v/>
      </c>
      <c r="B691" s="50"/>
      <c r="C691" s="48" t="str">
        <f ca="1">IFERROR(__xludf.DUMMYFUNCTION("""COMPUTED_VALUE"""),"")</f>
        <v/>
      </c>
      <c r="D691" s="48" t="str">
        <f ca="1">IFERROR(__xludf.DUMMYFUNCTION("""COMPUTED_VALUE"""),"")</f>
        <v/>
      </c>
      <c r="E691" s="49" t="str">
        <f ca="1">IFERROR(__xludf.DUMMYFUNCTION("""COMPUTED_VALUE"""),"")</f>
        <v/>
      </c>
      <c r="F691" s="48" t="str">
        <f ca="1">IFERROR(__xludf.DUMMYFUNCTION("""COMPUTED_VALUE"""),"")</f>
        <v/>
      </c>
      <c r="G691" s="50" t="str">
        <f ca="1">IFERROR(__xludf.DUMMYFUNCTION("""COMPUTED_VALUE"""),"")</f>
        <v/>
      </c>
      <c r="H691" s="50" t="str">
        <f ca="1">IFERROR(__xludf.DUMMYFUNCTION("""COMPUTED_VALUE"""),"")</f>
        <v/>
      </c>
    </row>
    <row r="692" spans="1:8" ht="12.75">
      <c r="A692" s="46" t="str">
        <f ca="1">IFERROR(__xludf.DUMMYFUNCTION("""COMPUTED_VALUE"""),"")</f>
        <v/>
      </c>
      <c r="B692" s="50"/>
      <c r="C692" s="48" t="str">
        <f ca="1">IFERROR(__xludf.DUMMYFUNCTION("""COMPUTED_VALUE"""),"")</f>
        <v/>
      </c>
      <c r="D692" s="48" t="str">
        <f ca="1">IFERROR(__xludf.DUMMYFUNCTION("""COMPUTED_VALUE"""),"")</f>
        <v/>
      </c>
      <c r="E692" s="49" t="str">
        <f ca="1">IFERROR(__xludf.DUMMYFUNCTION("""COMPUTED_VALUE"""),"")</f>
        <v/>
      </c>
      <c r="F692" s="48" t="str">
        <f ca="1">IFERROR(__xludf.DUMMYFUNCTION("""COMPUTED_VALUE"""),"")</f>
        <v/>
      </c>
      <c r="G692" s="50" t="str">
        <f ca="1">IFERROR(__xludf.DUMMYFUNCTION("""COMPUTED_VALUE"""),"")</f>
        <v/>
      </c>
      <c r="H692" s="50" t="str">
        <f ca="1">IFERROR(__xludf.DUMMYFUNCTION("""COMPUTED_VALUE"""),"")</f>
        <v/>
      </c>
    </row>
    <row r="693" spans="1:8" ht="12.75">
      <c r="A693" s="46" t="str">
        <f ca="1">IFERROR(__xludf.DUMMYFUNCTION("""COMPUTED_VALUE"""),"")</f>
        <v/>
      </c>
      <c r="B693" s="50"/>
      <c r="C693" s="48" t="str">
        <f ca="1">IFERROR(__xludf.DUMMYFUNCTION("""COMPUTED_VALUE"""),"")</f>
        <v/>
      </c>
      <c r="D693" s="48" t="str">
        <f ca="1">IFERROR(__xludf.DUMMYFUNCTION("""COMPUTED_VALUE"""),"")</f>
        <v/>
      </c>
      <c r="E693" s="49" t="str">
        <f ca="1">IFERROR(__xludf.DUMMYFUNCTION("""COMPUTED_VALUE"""),"")</f>
        <v/>
      </c>
      <c r="F693" s="48" t="str">
        <f ca="1">IFERROR(__xludf.DUMMYFUNCTION("""COMPUTED_VALUE"""),"")</f>
        <v/>
      </c>
      <c r="G693" s="50" t="str">
        <f ca="1">IFERROR(__xludf.DUMMYFUNCTION("""COMPUTED_VALUE"""),"")</f>
        <v/>
      </c>
      <c r="H693" s="50" t="str">
        <f ca="1">IFERROR(__xludf.DUMMYFUNCTION("""COMPUTED_VALUE"""),"")</f>
        <v/>
      </c>
    </row>
    <row r="694" spans="1:8" ht="12.75">
      <c r="A694" s="46" t="str">
        <f ca="1">IFERROR(__xludf.DUMMYFUNCTION("""COMPUTED_VALUE"""),"")</f>
        <v/>
      </c>
      <c r="B694" s="50"/>
      <c r="C694" s="48" t="str">
        <f ca="1">IFERROR(__xludf.DUMMYFUNCTION("""COMPUTED_VALUE"""),"")</f>
        <v/>
      </c>
      <c r="D694" s="48" t="str">
        <f ca="1">IFERROR(__xludf.DUMMYFUNCTION("""COMPUTED_VALUE"""),"")</f>
        <v/>
      </c>
      <c r="E694" s="49" t="str">
        <f ca="1">IFERROR(__xludf.DUMMYFUNCTION("""COMPUTED_VALUE"""),"")</f>
        <v/>
      </c>
      <c r="F694" s="48" t="str">
        <f ca="1">IFERROR(__xludf.DUMMYFUNCTION("""COMPUTED_VALUE"""),"")</f>
        <v/>
      </c>
      <c r="G694" s="50" t="str">
        <f ca="1">IFERROR(__xludf.DUMMYFUNCTION("""COMPUTED_VALUE"""),"")</f>
        <v/>
      </c>
      <c r="H694" s="50" t="str">
        <f ca="1">IFERROR(__xludf.DUMMYFUNCTION("""COMPUTED_VALUE"""),"")</f>
        <v/>
      </c>
    </row>
    <row r="695" spans="1:8" ht="12.75">
      <c r="A695" s="46" t="str">
        <f ca="1">IFERROR(__xludf.DUMMYFUNCTION("""COMPUTED_VALUE"""),"")</f>
        <v/>
      </c>
      <c r="B695" s="50"/>
      <c r="C695" s="48" t="str">
        <f ca="1">IFERROR(__xludf.DUMMYFUNCTION("""COMPUTED_VALUE"""),"")</f>
        <v/>
      </c>
      <c r="D695" s="48" t="str">
        <f ca="1">IFERROR(__xludf.DUMMYFUNCTION("""COMPUTED_VALUE"""),"")</f>
        <v/>
      </c>
      <c r="E695" s="49" t="str">
        <f ca="1">IFERROR(__xludf.DUMMYFUNCTION("""COMPUTED_VALUE"""),"")</f>
        <v/>
      </c>
      <c r="F695" s="48" t="str">
        <f ca="1">IFERROR(__xludf.DUMMYFUNCTION("""COMPUTED_VALUE"""),"")</f>
        <v/>
      </c>
      <c r="G695" s="50" t="str">
        <f ca="1">IFERROR(__xludf.DUMMYFUNCTION("""COMPUTED_VALUE"""),"")</f>
        <v/>
      </c>
      <c r="H695" s="50" t="str">
        <f ca="1">IFERROR(__xludf.DUMMYFUNCTION("""COMPUTED_VALUE"""),"")</f>
        <v/>
      </c>
    </row>
    <row r="696" spans="1:8" ht="12.75">
      <c r="A696" s="46" t="str">
        <f ca="1">IFERROR(__xludf.DUMMYFUNCTION("""COMPUTED_VALUE"""),"")</f>
        <v/>
      </c>
      <c r="B696" s="50"/>
      <c r="C696" s="48" t="str">
        <f ca="1">IFERROR(__xludf.DUMMYFUNCTION("""COMPUTED_VALUE"""),"")</f>
        <v/>
      </c>
      <c r="D696" s="48" t="str">
        <f ca="1">IFERROR(__xludf.DUMMYFUNCTION("""COMPUTED_VALUE"""),"")</f>
        <v/>
      </c>
      <c r="E696" s="49" t="str">
        <f ca="1">IFERROR(__xludf.DUMMYFUNCTION("""COMPUTED_VALUE"""),"")</f>
        <v/>
      </c>
      <c r="F696" s="48" t="str">
        <f ca="1">IFERROR(__xludf.DUMMYFUNCTION("""COMPUTED_VALUE"""),"")</f>
        <v/>
      </c>
      <c r="G696" s="50" t="str">
        <f ca="1">IFERROR(__xludf.DUMMYFUNCTION("""COMPUTED_VALUE"""),"")</f>
        <v/>
      </c>
      <c r="H696" s="50" t="str">
        <f ca="1">IFERROR(__xludf.DUMMYFUNCTION("""COMPUTED_VALUE"""),"")</f>
        <v/>
      </c>
    </row>
    <row r="697" spans="1:8" ht="12.75">
      <c r="A697" s="46" t="str">
        <f ca="1">IFERROR(__xludf.DUMMYFUNCTION("""COMPUTED_VALUE"""),"")</f>
        <v/>
      </c>
      <c r="B697" s="50"/>
      <c r="C697" s="48" t="str">
        <f ca="1">IFERROR(__xludf.DUMMYFUNCTION("""COMPUTED_VALUE"""),"")</f>
        <v/>
      </c>
      <c r="D697" s="48" t="str">
        <f ca="1">IFERROR(__xludf.DUMMYFUNCTION("""COMPUTED_VALUE"""),"")</f>
        <v/>
      </c>
      <c r="E697" s="49" t="str">
        <f ca="1">IFERROR(__xludf.DUMMYFUNCTION("""COMPUTED_VALUE"""),"")</f>
        <v/>
      </c>
      <c r="F697" s="48" t="str">
        <f ca="1">IFERROR(__xludf.DUMMYFUNCTION("""COMPUTED_VALUE"""),"")</f>
        <v/>
      </c>
      <c r="G697" s="50" t="str">
        <f ca="1">IFERROR(__xludf.DUMMYFUNCTION("""COMPUTED_VALUE"""),"")</f>
        <v/>
      </c>
      <c r="H697" s="50" t="str">
        <f ca="1">IFERROR(__xludf.DUMMYFUNCTION("""COMPUTED_VALUE"""),"")</f>
        <v/>
      </c>
    </row>
    <row r="698" spans="1:8" ht="12.75">
      <c r="A698" s="46" t="str">
        <f ca="1">IFERROR(__xludf.DUMMYFUNCTION("""COMPUTED_VALUE"""),"")</f>
        <v/>
      </c>
      <c r="B698" s="50"/>
      <c r="C698" s="48" t="str">
        <f ca="1">IFERROR(__xludf.DUMMYFUNCTION("""COMPUTED_VALUE"""),"")</f>
        <v/>
      </c>
      <c r="D698" s="48" t="str">
        <f ca="1">IFERROR(__xludf.DUMMYFUNCTION("""COMPUTED_VALUE"""),"")</f>
        <v/>
      </c>
      <c r="E698" s="49" t="str">
        <f ca="1">IFERROR(__xludf.DUMMYFUNCTION("""COMPUTED_VALUE"""),"")</f>
        <v/>
      </c>
      <c r="F698" s="48" t="str">
        <f ca="1">IFERROR(__xludf.DUMMYFUNCTION("""COMPUTED_VALUE"""),"")</f>
        <v/>
      </c>
      <c r="G698" s="50" t="str">
        <f ca="1">IFERROR(__xludf.DUMMYFUNCTION("""COMPUTED_VALUE"""),"")</f>
        <v/>
      </c>
      <c r="H698" s="50" t="str">
        <f ca="1">IFERROR(__xludf.DUMMYFUNCTION("""COMPUTED_VALUE"""),"")</f>
        <v/>
      </c>
    </row>
    <row r="699" spans="1:8" ht="12.75">
      <c r="A699" s="46" t="str">
        <f ca="1">IFERROR(__xludf.DUMMYFUNCTION("""COMPUTED_VALUE"""),"")</f>
        <v/>
      </c>
      <c r="B699" s="50"/>
      <c r="C699" s="48" t="str">
        <f ca="1">IFERROR(__xludf.DUMMYFUNCTION("""COMPUTED_VALUE"""),"")</f>
        <v/>
      </c>
      <c r="D699" s="48" t="str">
        <f ca="1">IFERROR(__xludf.DUMMYFUNCTION("""COMPUTED_VALUE"""),"")</f>
        <v/>
      </c>
      <c r="E699" s="49" t="str">
        <f ca="1">IFERROR(__xludf.DUMMYFUNCTION("""COMPUTED_VALUE"""),"")</f>
        <v/>
      </c>
      <c r="F699" s="48" t="str">
        <f ca="1">IFERROR(__xludf.DUMMYFUNCTION("""COMPUTED_VALUE"""),"")</f>
        <v/>
      </c>
      <c r="G699" s="50" t="str">
        <f ca="1">IFERROR(__xludf.DUMMYFUNCTION("""COMPUTED_VALUE"""),"")</f>
        <v/>
      </c>
      <c r="H699" s="50" t="str">
        <f ca="1">IFERROR(__xludf.DUMMYFUNCTION("""COMPUTED_VALUE"""),"")</f>
        <v/>
      </c>
    </row>
    <row r="700" spans="1:8" ht="12.75">
      <c r="A700" s="46" t="str">
        <f ca="1">IFERROR(__xludf.DUMMYFUNCTION("""COMPUTED_VALUE"""),"")</f>
        <v/>
      </c>
      <c r="B700" s="50"/>
      <c r="C700" s="48" t="str">
        <f ca="1">IFERROR(__xludf.DUMMYFUNCTION("""COMPUTED_VALUE"""),"")</f>
        <v/>
      </c>
      <c r="D700" s="48" t="str">
        <f ca="1">IFERROR(__xludf.DUMMYFUNCTION("""COMPUTED_VALUE"""),"")</f>
        <v/>
      </c>
      <c r="E700" s="49" t="str">
        <f ca="1">IFERROR(__xludf.DUMMYFUNCTION("""COMPUTED_VALUE"""),"")</f>
        <v/>
      </c>
      <c r="F700" s="48" t="str">
        <f ca="1">IFERROR(__xludf.DUMMYFUNCTION("""COMPUTED_VALUE"""),"")</f>
        <v/>
      </c>
      <c r="G700" s="50" t="str">
        <f ca="1">IFERROR(__xludf.DUMMYFUNCTION("""COMPUTED_VALUE"""),"")</f>
        <v/>
      </c>
      <c r="H700" s="50" t="str">
        <f ca="1">IFERROR(__xludf.DUMMYFUNCTION("""COMPUTED_VALUE"""),"")</f>
        <v/>
      </c>
    </row>
    <row r="701" spans="1:8" ht="12.75">
      <c r="A701" s="36" t="str">
        <f ca="1">IFERROR(__xludf.DUMMYFUNCTION("""COMPUTED_VALUE"""),"")</f>
        <v/>
      </c>
      <c r="B701" s="38"/>
      <c r="C701" s="54" t="str">
        <f ca="1">IFERROR(__xludf.DUMMYFUNCTION("""COMPUTED_VALUE"""),"")</f>
        <v/>
      </c>
      <c r="D701" s="54" t="str">
        <f ca="1">IFERROR(__xludf.DUMMYFUNCTION("""COMPUTED_VALUE"""),"")</f>
        <v/>
      </c>
      <c r="E701" s="55" t="str">
        <f ca="1">IFERROR(__xludf.DUMMYFUNCTION("""COMPUTED_VALUE"""),"")</f>
        <v/>
      </c>
      <c r="F701" s="54" t="str">
        <f ca="1">IFERROR(__xludf.DUMMYFUNCTION("""COMPUTED_VALUE"""),"")</f>
        <v/>
      </c>
      <c r="G701" s="38" t="str">
        <f ca="1">IFERROR(__xludf.DUMMYFUNCTION("""COMPUTED_VALUE"""),"")</f>
        <v/>
      </c>
      <c r="H701" s="38" t="str">
        <f ca="1">IFERROR(__xludf.DUMMYFUNCTION("""COMPUTED_VALUE"""),"")</f>
        <v/>
      </c>
    </row>
    <row r="702" spans="1:8" ht="12.75">
      <c r="A702" s="36" t="str">
        <f ca="1">IFERROR(__xludf.DUMMYFUNCTION("""COMPUTED_VALUE"""),"")</f>
        <v/>
      </c>
      <c r="B702" s="38"/>
      <c r="C702" s="54" t="str">
        <f ca="1">IFERROR(__xludf.DUMMYFUNCTION("""COMPUTED_VALUE"""),"")</f>
        <v/>
      </c>
      <c r="D702" s="54" t="str">
        <f ca="1">IFERROR(__xludf.DUMMYFUNCTION("""COMPUTED_VALUE"""),"")</f>
        <v/>
      </c>
      <c r="E702" s="55" t="str">
        <f ca="1">IFERROR(__xludf.DUMMYFUNCTION("""COMPUTED_VALUE"""),"")</f>
        <v/>
      </c>
      <c r="F702" s="54" t="str">
        <f ca="1">IFERROR(__xludf.DUMMYFUNCTION("""COMPUTED_VALUE"""),"")</f>
        <v/>
      </c>
      <c r="G702" s="38" t="str">
        <f ca="1">IFERROR(__xludf.DUMMYFUNCTION("""COMPUTED_VALUE"""),"")</f>
        <v/>
      </c>
      <c r="H702" s="38" t="str">
        <f ca="1">IFERROR(__xludf.DUMMYFUNCTION("""COMPUTED_VALUE"""),"")</f>
        <v/>
      </c>
    </row>
    <row r="703" spans="1:8" ht="12.75">
      <c r="A703" s="36" t="str">
        <f ca="1">IFERROR(__xludf.DUMMYFUNCTION("""COMPUTED_VALUE"""),"")</f>
        <v/>
      </c>
      <c r="B703" s="38"/>
      <c r="C703" s="54" t="str">
        <f ca="1">IFERROR(__xludf.DUMMYFUNCTION("""COMPUTED_VALUE"""),"")</f>
        <v/>
      </c>
      <c r="D703" s="54" t="str">
        <f ca="1">IFERROR(__xludf.DUMMYFUNCTION("""COMPUTED_VALUE"""),"")</f>
        <v/>
      </c>
      <c r="E703" s="55" t="str">
        <f ca="1">IFERROR(__xludf.DUMMYFUNCTION("""COMPUTED_VALUE"""),"")</f>
        <v/>
      </c>
      <c r="F703" s="54" t="str">
        <f ca="1">IFERROR(__xludf.DUMMYFUNCTION("""COMPUTED_VALUE"""),"")</f>
        <v/>
      </c>
      <c r="G703" s="38" t="str">
        <f ca="1">IFERROR(__xludf.DUMMYFUNCTION("""COMPUTED_VALUE"""),"")</f>
        <v/>
      </c>
      <c r="H703" s="38" t="str">
        <f ca="1">IFERROR(__xludf.DUMMYFUNCTION("""COMPUTED_VALUE"""),"")</f>
        <v/>
      </c>
    </row>
    <row r="704" spans="1:8" ht="12.75">
      <c r="A704" s="36" t="str">
        <f ca="1">IFERROR(__xludf.DUMMYFUNCTION("""COMPUTED_VALUE"""),"")</f>
        <v/>
      </c>
      <c r="B704" s="38"/>
      <c r="C704" s="54" t="str">
        <f ca="1">IFERROR(__xludf.DUMMYFUNCTION("""COMPUTED_VALUE"""),"")</f>
        <v/>
      </c>
      <c r="D704" s="54" t="str">
        <f ca="1">IFERROR(__xludf.DUMMYFUNCTION("""COMPUTED_VALUE"""),"")</f>
        <v/>
      </c>
      <c r="E704" s="55" t="str">
        <f ca="1">IFERROR(__xludf.DUMMYFUNCTION("""COMPUTED_VALUE"""),"")</f>
        <v/>
      </c>
      <c r="F704" s="54" t="str">
        <f ca="1">IFERROR(__xludf.DUMMYFUNCTION("""COMPUTED_VALUE"""),"")</f>
        <v/>
      </c>
      <c r="G704" s="38" t="str">
        <f ca="1">IFERROR(__xludf.DUMMYFUNCTION("""COMPUTED_VALUE"""),"")</f>
        <v/>
      </c>
      <c r="H704" s="38" t="str">
        <f ca="1">IFERROR(__xludf.DUMMYFUNCTION("""COMPUTED_VALUE"""),"")</f>
        <v/>
      </c>
    </row>
    <row r="705" spans="1:8" ht="12.75">
      <c r="A705" s="36" t="str">
        <f ca="1">IFERROR(__xludf.DUMMYFUNCTION("""COMPUTED_VALUE"""),"")</f>
        <v/>
      </c>
      <c r="B705" s="38"/>
      <c r="C705" s="54" t="str">
        <f ca="1">IFERROR(__xludf.DUMMYFUNCTION("""COMPUTED_VALUE"""),"")</f>
        <v/>
      </c>
      <c r="D705" s="54" t="str">
        <f ca="1">IFERROR(__xludf.DUMMYFUNCTION("""COMPUTED_VALUE"""),"")</f>
        <v/>
      </c>
      <c r="E705" s="55" t="str">
        <f ca="1">IFERROR(__xludf.DUMMYFUNCTION("""COMPUTED_VALUE"""),"")</f>
        <v/>
      </c>
      <c r="F705" s="54" t="str">
        <f ca="1">IFERROR(__xludf.DUMMYFUNCTION("""COMPUTED_VALUE"""),"")</f>
        <v/>
      </c>
      <c r="G705" s="38" t="str">
        <f ca="1">IFERROR(__xludf.DUMMYFUNCTION("""COMPUTED_VALUE"""),"")</f>
        <v/>
      </c>
      <c r="H705" s="38" t="str">
        <f ca="1">IFERROR(__xludf.DUMMYFUNCTION("""COMPUTED_VALUE"""),"")</f>
        <v/>
      </c>
    </row>
    <row r="706" spans="1:8" ht="12.75">
      <c r="A706" s="36" t="str">
        <f ca="1">IFERROR(__xludf.DUMMYFUNCTION("""COMPUTED_VALUE"""),"")</f>
        <v/>
      </c>
      <c r="B706" s="38"/>
      <c r="C706" s="54" t="str">
        <f ca="1">IFERROR(__xludf.DUMMYFUNCTION("""COMPUTED_VALUE"""),"")</f>
        <v/>
      </c>
      <c r="D706" s="54" t="str">
        <f ca="1">IFERROR(__xludf.DUMMYFUNCTION("""COMPUTED_VALUE"""),"")</f>
        <v/>
      </c>
      <c r="E706" s="55" t="str">
        <f ca="1">IFERROR(__xludf.DUMMYFUNCTION("""COMPUTED_VALUE"""),"")</f>
        <v/>
      </c>
      <c r="F706" s="54" t="str">
        <f ca="1">IFERROR(__xludf.DUMMYFUNCTION("""COMPUTED_VALUE"""),"")</f>
        <v/>
      </c>
      <c r="G706" s="38" t="str">
        <f ca="1">IFERROR(__xludf.DUMMYFUNCTION("""COMPUTED_VALUE"""),"")</f>
        <v/>
      </c>
      <c r="H706" s="38" t="str">
        <f ca="1">IFERROR(__xludf.DUMMYFUNCTION("""COMPUTED_VALUE"""),"")</f>
        <v/>
      </c>
    </row>
    <row r="707" spans="1:8" ht="12.75">
      <c r="A707" s="36" t="str">
        <f ca="1">IFERROR(__xludf.DUMMYFUNCTION("""COMPUTED_VALUE"""),"")</f>
        <v/>
      </c>
      <c r="B707" s="38"/>
      <c r="C707" s="54" t="str">
        <f ca="1">IFERROR(__xludf.DUMMYFUNCTION("""COMPUTED_VALUE"""),"")</f>
        <v/>
      </c>
      <c r="D707" s="54" t="str">
        <f ca="1">IFERROR(__xludf.DUMMYFUNCTION("""COMPUTED_VALUE"""),"")</f>
        <v/>
      </c>
      <c r="E707" s="55" t="str">
        <f ca="1">IFERROR(__xludf.DUMMYFUNCTION("""COMPUTED_VALUE"""),"")</f>
        <v/>
      </c>
      <c r="F707" s="54" t="str">
        <f ca="1">IFERROR(__xludf.DUMMYFUNCTION("""COMPUTED_VALUE"""),"")</f>
        <v/>
      </c>
      <c r="G707" s="38" t="str">
        <f ca="1">IFERROR(__xludf.DUMMYFUNCTION("""COMPUTED_VALUE"""),"")</f>
        <v/>
      </c>
      <c r="H707" s="38" t="str">
        <f ca="1">IFERROR(__xludf.DUMMYFUNCTION("""COMPUTED_VALUE"""),"")</f>
        <v/>
      </c>
    </row>
    <row r="708" spans="1:8" ht="12.75">
      <c r="A708" s="36" t="str">
        <f ca="1">IFERROR(__xludf.DUMMYFUNCTION("""COMPUTED_VALUE"""),"")</f>
        <v/>
      </c>
      <c r="B708" s="38"/>
      <c r="C708" s="54" t="str">
        <f ca="1">IFERROR(__xludf.DUMMYFUNCTION("""COMPUTED_VALUE"""),"")</f>
        <v/>
      </c>
      <c r="D708" s="54" t="str">
        <f ca="1">IFERROR(__xludf.DUMMYFUNCTION("""COMPUTED_VALUE"""),"")</f>
        <v/>
      </c>
      <c r="E708" s="55" t="str">
        <f ca="1">IFERROR(__xludf.DUMMYFUNCTION("""COMPUTED_VALUE"""),"")</f>
        <v/>
      </c>
      <c r="F708" s="54" t="str">
        <f ca="1">IFERROR(__xludf.DUMMYFUNCTION("""COMPUTED_VALUE"""),"")</f>
        <v/>
      </c>
      <c r="G708" s="38" t="str">
        <f ca="1">IFERROR(__xludf.DUMMYFUNCTION("""COMPUTED_VALUE"""),"")</f>
        <v/>
      </c>
      <c r="H708" s="38" t="str">
        <f ca="1">IFERROR(__xludf.DUMMYFUNCTION("""COMPUTED_VALUE"""),"")</f>
        <v/>
      </c>
    </row>
    <row r="709" spans="1:8" ht="12.75">
      <c r="A709" s="36" t="str">
        <f ca="1">IFERROR(__xludf.DUMMYFUNCTION("""COMPUTED_VALUE"""),"")</f>
        <v/>
      </c>
      <c r="B709" s="38"/>
      <c r="C709" s="54" t="str">
        <f ca="1">IFERROR(__xludf.DUMMYFUNCTION("""COMPUTED_VALUE"""),"")</f>
        <v/>
      </c>
      <c r="D709" s="54" t="str">
        <f ca="1">IFERROR(__xludf.DUMMYFUNCTION("""COMPUTED_VALUE"""),"")</f>
        <v/>
      </c>
      <c r="E709" s="55" t="str">
        <f ca="1">IFERROR(__xludf.DUMMYFUNCTION("""COMPUTED_VALUE"""),"")</f>
        <v/>
      </c>
      <c r="F709" s="54" t="str">
        <f ca="1">IFERROR(__xludf.DUMMYFUNCTION("""COMPUTED_VALUE"""),"")</f>
        <v/>
      </c>
      <c r="G709" s="38" t="str">
        <f ca="1">IFERROR(__xludf.DUMMYFUNCTION("""COMPUTED_VALUE"""),"")</f>
        <v/>
      </c>
      <c r="H709" s="38" t="str">
        <f ca="1">IFERROR(__xludf.DUMMYFUNCTION("""COMPUTED_VALUE"""),"")</f>
        <v/>
      </c>
    </row>
    <row r="710" spans="1:8" ht="12.75">
      <c r="A710" s="36" t="str">
        <f ca="1">IFERROR(__xludf.DUMMYFUNCTION("""COMPUTED_VALUE"""),"")</f>
        <v/>
      </c>
      <c r="B710" s="38"/>
      <c r="C710" s="54" t="str">
        <f ca="1">IFERROR(__xludf.DUMMYFUNCTION("""COMPUTED_VALUE"""),"")</f>
        <v/>
      </c>
      <c r="D710" s="54" t="str">
        <f ca="1">IFERROR(__xludf.DUMMYFUNCTION("""COMPUTED_VALUE"""),"")</f>
        <v/>
      </c>
      <c r="E710" s="55" t="str">
        <f ca="1">IFERROR(__xludf.DUMMYFUNCTION("""COMPUTED_VALUE"""),"")</f>
        <v/>
      </c>
      <c r="F710" s="54" t="str">
        <f ca="1">IFERROR(__xludf.DUMMYFUNCTION("""COMPUTED_VALUE"""),"")</f>
        <v/>
      </c>
      <c r="G710" s="38" t="str">
        <f ca="1">IFERROR(__xludf.DUMMYFUNCTION("""COMPUTED_VALUE"""),"")</f>
        <v/>
      </c>
      <c r="H710" s="38" t="str">
        <f ca="1">IFERROR(__xludf.DUMMYFUNCTION("""COMPUTED_VALUE"""),"")</f>
        <v/>
      </c>
    </row>
    <row r="711" spans="1:8" ht="12.75">
      <c r="A711" s="36" t="str">
        <f ca="1">IFERROR(__xludf.DUMMYFUNCTION("""COMPUTED_VALUE"""),"")</f>
        <v/>
      </c>
      <c r="B711" s="38"/>
      <c r="C711" s="54" t="str">
        <f ca="1">IFERROR(__xludf.DUMMYFUNCTION("""COMPUTED_VALUE"""),"")</f>
        <v/>
      </c>
      <c r="D711" s="54" t="str">
        <f ca="1">IFERROR(__xludf.DUMMYFUNCTION("""COMPUTED_VALUE"""),"")</f>
        <v/>
      </c>
      <c r="E711" s="55" t="str">
        <f ca="1">IFERROR(__xludf.DUMMYFUNCTION("""COMPUTED_VALUE"""),"")</f>
        <v/>
      </c>
      <c r="F711" s="54" t="str">
        <f ca="1">IFERROR(__xludf.DUMMYFUNCTION("""COMPUTED_VALUE"""),"")</f>
        <v/>
      </c>
      <c r="G711" s="38" t="str">
        <f ca="1">IFERROR(__xludf.DUMMYFUNCTION("""COMPUTED_VALUE"""),"")</f>
        <v/>
      </c>
      <c r="H711" s="38" t="str">
        <f ca="1">IFERROR(__xludf.DUMMYFUNCTION("""COMPUTED_VALUE"""),"")</f>
        <v/>
      </c>
    </row>
    <row r="712" spans="1:8" ht="12.75">
      <c r="A712" s="36" t="str">
        <f ca="1">IFERROR(__xludf.DUMMYFUNCTION("""COMPUTED_VALUE"""),"")</f>
        <v/>
      </c>
      <c r="B712" s="38"/>
      <c r="C712" s="54" t="str">
        <f ca="1">IFERROR(__xludf.DUMMYFUNCTION("""COMPUTED_VALUE"""),"")</f>
        <v/>
      </c>
      <c r="D712" s="54" t="str">
        <f ca="1">IFERROR(__xludf.DUMMYFUNCTION("""COMPUTED_VALUE"""),"")</f>
        <v/>
      </c>
      <c r="E712" s="55" t="str">
        <f ca="1">IFERROR(__xludf.DUMMYFUNCTION("""COMPUTED_VALUE"""),"")</f>
        <v/>
      </c>
      <c r="F712" s="54" t="str">
        <f ca="1">IFERROR(__xludf.DUMMYFUNCTION("""COMPUTED_VALUE"""),"")</f>
        <v/>
      </c>
      <c r="G712" s="38" t="str">
        <f ca="1">IFERROR(__xludf.DUMMYFUNCTION("""COMPUTED_VALUE"""),"")</f>
        <v/>
      </c>
      <c r="H712" s="38" t="str">
        <f ca="1">IFERROR(__xludf.DUMMYFUNCTION("""COMPUTED_VALUE"""),"")</f>
        <v/>
      </c>
    </row>
    <row r="713" spans="1:8" ht="12.75">
      <c r="A713" s="36" t="str">
        <f ca="1">IFERROR(__xludf.DUMMYFUNCTION("""COMPUTED_VALUE"""),"")</f>
        <v/>
      </c>
      <c r="B713" s="38"/>
      <c r="C713" s="54" t="str">
        <f ca="1">IFERROR(__xludf.DUMMYFUNCTION("""COMPUTED_VALUE"""),"")</f>
        <v/>
      </c>
      <c r="D713" s="54" t="str">
        <f ca="1">IFERROR(__xludf.DUMMYFUNCTION("""COMPUTED_VALUE"""),"")</f>
        <v/>
      </c>
      <c r="E713" s="55" t="str">
        <f ca="1">IFERROR(__xludf.DUMMYFUNCTION("""COMPUTED_VALUE"""),"")</f>
        <v/>
      </c>
      <c r="F713" s="54" t="str">
        <f ca="1">IFERROR(__xludf.DUMMYFUNCTION("""COMPUTED_VALUE"""),"")</f>
        <v/>
      </c>
      <c r="G713" s="38" t="str">
        <f ca="1">IFERROR(__xludf.DUMMYFUNCTION("""COMPUTED_VALUE"""),"")</f>
        <v/>
      </c>
      <c r="H713" s="38" t="str">
        <f ca="1">IFERROR(__xludf.DUMMYFUNCTION("""COMPUTED_VALUE"""),"")</f>
        <v/>
      </c>
    </row>
    <row r="714" spans="1:8" ht="12.75">
      <c r="A714" s="36" t="str">
        <f ca="1">IFERROR(__xludf.DUMMYFUNCTION("""COMPUTED_VALUE"""),"")</f>
        <v/>
      </c>
      <c r="B714" s="38"/>
      <c r="C714" s="54" t="str">
        <f ca="1">IFERROR(__xludf.DUMMYFUNCTION("""COMPUTED_VALUE"""),"")</f>
        <v/>
      </c>
      <c r="D714" s="54" t="str">
        <f ca="1">IFERROR(__xludf.DUMMYFUNCTION("""COMPUTED_VALUE"""),"")</f>
        <v/>
      </c>
      <c r="E714" s="55" t="str">
        <f ca="1">IFERROR(__xludf.DUMMYFUNCTION("""COMPUTED_VALUE"""),"")</f>
        <v/>
      </c>
      <c r="F714" s="54" t="str">
        <f ca="1">IFERROR(__xludf.DUMMYFUNCTION("""COMPUTED_VALUE"""),"")</f>
        <v/>
      </c>
      <c r="G714" s="38" t="str">
        <f ca="1">IFERROR(__xludf.DUMMYFUNCTION("""COMPUTED_VALUE"""),"")</f>
        <v/>
      </c>
      <c r="H714" s="38" t="str">
        <f ca="1">IFERROR(__xludf.DUMMYFUNCTION("""COMPUTED_VALUE"""),"")</f>
        <v/>
      </c>
    </row>
    <row r="715" spans="1:8" ht="12.75">
      <c r="A715" s="36" t="str">
        <f ca="1">IFERROR(__xludf.DUMMYFUNCTION("""COMPUTED_VALUE"""),"")</f>
        <v/>
      </c>
      <c r="B715" s="38"/>
      <c r="C715" s="54" t="str">
        <f ca="1">IFERROR(__xludf.DUMMYFUNCTION("""COMPUTED_VALUE"""),"")</f>
        <v/>
      </c>
      <c r="D715" s="54" t="str">
        <f ca="1">IFERROR(__xludf.DUMMYFUNCTION("""COMPUTED_VALUE"""),"")</f>
        <v/>
      </c>
      <c r="E715" s="55" t="str">
        <f ca="1">IFERROR(__xludf.DUMMYFUNCTION("""COMPUTED_VALUE"""),"")</f>
        <v/>
      </c>
      <c r="F715" s="54" t="str">
        <f ca="1">IFERROR(__xludf.DUMMYFUNCTION("""COMPUTED_VALUE"""),"")</f>
        <v/>
      </c>
      <c r="G715" s="38" t="str">
        <f ca="1">IFERROR(__xludf.DUMMYFUNCTION("""COMPUTED_VALUE"""),"")</f>
        <v/>
      </c>
      <c r="H715" s="38" t="str">
        <f ca="1">IFERROR(__xludf.DUMMYFUNCTION("""COMPUTED_VALUE"""),"")</f>
        <v/>
      </c>
    </row>
    <row r="716" spans="1:8" ht="12.75">
      <c r="A716" s="36" t="str">
        <f ca="1">IFERROR(__xludf.DUMMYFUNCTION("""COMPUTED_VALUE"""),"")</f>
        <v/>
      </c>
      <c r="B716" s="38"/>
      <c r="C716" s="54" t="str">
        <f ca="1">IFERROR(__xludf.DUMMYFUNCTION("""COMPUTED_VALUE"""),"")</f>
        <v/>
      </c>
      <c r="D716" s="54" t="str">
        <f ca="1">IFERROR(__xludf.DUMMYFUNCTION("""COMPUTED_VALUE"""),"")</f>
        <v/>
      </c>
      <c r="E716" s="55" t="str">
        <f ca="1">IFERROR(__xludf.DUMMYFUNCTION("""COMPUTED_VALUE"""),"")</f>
        <v/>
      </c>
      <c r="F716" s="54" t="str">
        <f ca="1">IFERROR(__xludf.DUMMYFUNCTION("""COMPUTED_VALUE"""),"")</f>
        <v/>
      </c>
      <c r="G716" s="38" t="str">
        <f ca="1">IFERROR(__xludf.DUMMYFUNCTION("""COMPUTED_VALUE"""),"")</f>
        <v/>
      </c>
      <c r="H716" s="38" t="str">
        <f ca="1">IFERROR(__xludf.DUMMYFUNCTION("""COMPUTED_VALUE"""),"")</f>
        <v/>
      </c>
    </row>
    <row r="717" spans="1:8" ht="12.75">
      <c r="A717" s="36" t="str">
        <f ca="1">IFERROR(__xludf.DUMMYFUNCTION("""COMPUTED_VALUE"""),"")</f>
        <v/>
      </c>
      <c r="B717" s="38"/>
      <c r="C717" s="54" t="str">
        <f ca="1">IFERROR(__xludf.DUMMYFUNCTION("""COMPUTED_VALUE"""),"")</f>
        <v/>
      </c>
      <c r="D717" s="54" t="str">
        <f ca="1">IFERROR(__xludf.DUMMYFUNCTION("""COMPUTED_VALUE"""),"")</f>
        <v/>
      </c>
      <c r="E717" s="55" t="str">
        <f ca="1">IFERROR(__xludf.DUMMYFUNCTION("""COMPUTED_VALUE"""),"")</f>
        <v/>
      </c>
      <c r="F717" s="54" t="str">
        <f ca="1">IFERROR(__xludf.DUMMYFUNCTION("""COMPUTED_VALUE"""),"")</f>
        <v/>
      </c>
      <c r="G717" s="38" t="str">
        <f ca="1">IFERROR(__xludf.DUMMYFUNCTION("""COMPUTED_VALUE"""),"")</f>
        <v/>
      </c>
      <c r="H717" s="38" t="str">
        <f ca="1">IFERROR(__xludf.DUMMYFUNCTION("""COMPUTED_VALUE"""),"")</f>
        <v/>
      </c>
    </row>
    <row r="718" spans="1:8" ht="12.75">
      <c r="A718" s="36" t="str">
        <f ca="1">IFERROR(__xludf.DUMMYFUNCTION("""COMPUTED_VALUE"""),"")</f>
        <v/>
      </c>
      <c r="B718" s="38"/>
      <c r="C718" s="54" t="str">
        <f ca="1">IFERROR(__xludf.DUMMYFUNCTION("""COMPUTED_VALUE"""),"")</f>
        <v/>
      </c>
      <c r="D718" s="54" t="str">
        <f ca="1">IFERROR(__xludf.DUMMYFUNCTION("""COMPUTED_VALUE"""),"")</f>
        <v/>
      </c>
      <c r="E718" s="55" t="str">
        <f ca="1">IFERROR(__xludf.DUMMYFUNCTION("""COMPUTED_VALUE"""),"")</f>
        <v/>
      </c>
      <c r="F718" s="54" t="str">
        <f ca="1">IFERROR(__xludf.DUMMYFUNCTION("""COMPUTED_VALUE"""),"")</f>
        <v/>
      </c>
      <c r="G718" s="38" t="str">
        <f ca="1">IFERROR(__xludf.DUMMYFUNCTION("""COMPUTED_VALUE"""),"")</f>
        <v/>
      </c>
      <c r="H718" s="38" t="str">
        <f ca="1">IFERROR(__xludf.DUMMYFUNCTION("""COMPUTED_VALUE"""),"")</f>
        <v/>
      </c>
    </row>
    <row r="719" spans="1:8" ht="12.75">
      <c r="A719" s="36" t="str">
        <f ca="1">IFERROR(__xludf.DUMMYFUNCTION("""COMPUTED_VALUE"""),"")</f>
        <v/>
      </c>
      <c r="B719" s="38"/>
      <c r="C719" s="54" t="str">
        <f ca="1">IFERROR(__xludf.DUMMYFUNCTION("""COMPUTED_VALUE"""),"")</f>
        <v/>
      </c>
      <c r="D719" s="54" t="str">
        <f ca="1">IFERROR(__xludf.DUMMYFUNCTION("""COMPUTED_VALUE"""),"")</f>
        <v/>
      </c>
      <c r="E719" s="55" t="str">
        <f ca="1">IFERROR(__xludf.DUMMYFUNCTION("""COMPUTED_VALUE"""),"")</f>
        <v/>
      </c>
      <c r="F719" s="54" t="str">
        <f ca="1">IFERROR(__xludf.DUMMYFUNCTION("""COMPUTED_VALUE"""),"")</f>
        <v/>
      </c>
      <c r="G719" s="38" t="str">
        <f ca="1">IFERROR(__xludf.DUMMYFUNCTION("""COMPUTED_VALUE"""),"")</f>
        <v/>
      </c>
      <c r="H719" s="38" t="str">
        <f ca="1">IFERROR(__xludf.DUMMYFUNCTION("""COMPUTED_VALUE"""),"")</f>
        <v/>
      </c>
    </row>
    <row r="720" spans="1:8" ht="12.75">
      <c r="A720" s="36" t="str">
        <f ca="1">IFERROR(__xludf.DUMMYFUNCTION("""COMPUTED_VALUE"""),"")</f>
        <v/>
      </c>
      <c r="B720" s="38"/>
      <c r="C720" s="54" t="str">
        <f ca="1">IFERROR(__xludf.DUMMYFUNCTION("""COMPUTED_VALUE"""),"")</f>
        <v/>
      </c>
      <c r="D720" s="54" t="str">
        <f ca="1">IFERROR(__xludf.DUMMYFUNCTION("""COMPUTED_VALUE"""),"")</f>
        <v/>
      </c>
      <c r="E720" s="55" t="str">
        <f ca="1">IFERROR(__xludf.DUMMYFUNCTION("""COMPUTED_VALUE"""),"")</f>
        <v/>
      </c>
      <c r="F720" s="54" t="str">
        <f ca="1">IFERROR(__xludf.DUMMYFUNCTION("""COMPUTED_VALUE"""),"")</f>
        <v/>
      </c>
      <c r="G720" s="38" t="str">
        <f ca="1">IFERROR(__xludf.DUMMYFUNCTION("""COMPUTED_VALUE"""),"")</f>
        <v/>
      </c>
      <c r="H720" s="38" t="str">
        <f ca="1">IFERROR(__xludf.DUMMYFUNCTION("""COMPUTED_VALUE"""),"")</f>
        <v/>
      </c>
    </row>
    <row r="721" spans="1:8" ht="12.75">
      <c r="A721" s="36" t="str">
        <f ca="1">IFERROR(__xludf.DUMMYFUNCTION("""COMPUTED_VALUE"""),"")</f>
        <v/>
      </c>
      <c r="B721" s="38"/>
      <c r="C721" s="54" t="str">
        <f ca="1">IFERROR(__xludf.DUMMYFUNCTION("""COMPUTED_VALUE"""),"")</f>
        <v/>
      </c>
      <c r="D721" s="54" t="str">
        <f ca="1">IFERROR(__xludf.DUMMYFUNCTION("""COMPUTED_VALUE"""),"")</f>
        <v/>
      </c>
      <c r="E721" s="55" t="str">
        <f ca="1">IFERROR(__xludf.DUMMYFUNCTION("""COMPUTED_VALUE"""),"")</f>
        <v/>
      </c>
      <c r="F721" s="54" t="str">
        <f ca="1">IFERROR(__xludf.DUMMYFUNCTION("""COMPUTED_VALUE"""),"")</f>
        <v/>
      </c>
      <c r="G721" s="38" t="str">
        <f ca="1">IFERROR(__xludf.DUMMYFUNCTION("""COMPUTED_VALUE"""),"")</f>
        <v/>
      </c>
      <c r="H721" s="38" t="str">
        <f ca="1">IFERROR(__xludf.DUMMYFUNCTION("""COMPUTED_VALUE"""),"")</f>
        <v/>
      </c>
    </row>
    <row r="722" spans="1:8" ht="12.75">
      <c r="A722" s="36" t="str">
        <f ca="1">IFERROR(__xludf.DUMMYFUNCTION("""COMPUTED_VALUE"""),"")</f>
        <v/>
      </c>
      <c r="B722" s="38"/>
      <c r="C722" s="54" t="str">
        <f ca="1">IFERROR(__xludf.DUMMYFUNCTION("""COMPUTED_VALUE"""),"")</f>
        <v/>
      </c>
      <c r="D722" s="54" t="str">
        <f ca="1">IFERROR(__xludf.DUMMYFUNCTION("""COMPUTED_VALUE"""),"")</f>
        <v/>
      </c>
      <c r="E722" s="55" t="str">
        <f ca="1">IFERROR(__xludf.DUMMYFUNCTION("""COMPUTED_VALUE"""),"")</f>
        <v/>
      </c>
      <c r="F722" s="54" t="str">
        <f ca="1">IFERROR(__xludf.DUMMYFUNCTION("""COMPUTED_VALUE"""),"")</f>
        <v/>
      </c>
      <c r="G722" s="38" t="str">
        <f ca="1">IFERROR(__xludf.DUMMYFUNCTION("""COMPUTED_VALUE"""),"")</f>
        <v/>
      </c>
      <c r="H722" s="38" t="str">
        <f ca="1">IFERROR(__xludf.DUMMYFUNCTION("""COMPUTED_VALUE"""),"")</f>
        <v/>
      </c>
    </row>
    <row r="723" spans="1:8" ht="12.75">
      <c r="A723" s="36" t="str">
        <f ca="1">IFERROR(__xludf.DUMMYFUNCTION("""COMPUTED_VALUE"""),"")</f>
        <v/>
      </c>
      <c r="B723" s="38"/>
      <c r="C723" s="54" t="str">
        <f ca="1">IFERROR(__xludf.DUMMYFUNCTION("""COMPUTED_VALUE"""),"")</f>
        <v/>
      </c>
      <c r="D723" s="54" t="str">
        <f ca="1">IFERROR(__xludf.DUMMYFUNCTION("""COMPUTED_VALUE"""),"")</f>
        <v/>
      </c>
      <c r="E723" s="55" t="str">
        <f ca="1">IFERROR(__xludf.DUMMYFUNCTION("""COMPUTED_VALUE"""),"")</f>
        <v/>
      </c>
      <c r="F723" s="54" t="str">
        <f ca="1">IFERROR(__xludf.DUMMYFUNCTION("""COMPUTED_VALUE"""),"")</f>
        <v/>
      </c>
      <c r="G723" s="38" t="str">
        <f ca="1">IFERROR(__xludf.DUMMYFUNCTION("""COMPUTED_VALUE"""),"")</f>
        <v/>
      </c>
      <c r="H723" s="38" t="str">
        <f ca="1">IFERROR(__xludf.DUMMYFUNCTION("""COMPUTED_VALUE"""),"")</f>
        <v/>
      </c>
    </row>
    <row r="724" spans="1:8" ht="12.75">
      <c r="A724" s="36" t="str">
        <f ca="1">IFERROR(__xludf.DUMMYFUNCTION("""COMPUTED_VALUE"""),"")</f>
        <v/>
      </c>
      <c r="B724" s="38"/>
      <c r="C724" s="54" t="str">
        <f ca="1">IFERROR(__xludf.DUMMYFUNCTION("""COMPUTED_VALUE"""),"")</f>
        <v/>
      </c>
      <c r="D724" s="54" t="str">
        <f ca="1">IFERROR(__xludf.DUMMYFUNCTION("""COMPUTED_VALUE"""),"")</f>
        <v/>
      </c>
      <c r="E724" s="55" t="str">
        <f ca="1">IFERROR(__xludf.DUMMYFUNCTION("""COMPUTED_VALUE"""),"")</f>
        <v/>
      </c>
      <c r="F724" s="54" t="str">
        <f ca="1">IFERROR(__xludf.DUMMYFUNCTION("""COMPUTED_VALUE"""),"")</f>
        <v/>
      </c>
      <c r="G724" s="38" t="str">
        <f ca="1">IFERROR(__xludf.DUMMYFUNCTION("""COMPUTED_VALUE"""),"")</f>
        <v/>
      </c>
      <c r="H724" s="38" t="str">
        <f ca="1">IFERROR(__xludf.DUMMYFUNCTION("""COMPUTED_VALUE"""),"")</f>
        <v/>
      </c>
    </row>
    <row r="725" spans="1:8" ht="12.75">
      <c r="A725" s="36" t="str">
        <f ca="1">IFERROR(__xludf.DUMMYFUNCTION("""COMPUTED_VALUE"""),"")</f>
        <v/>
      </c>
      <c r="B725" s="38"/>
      <c r="C725" s="54" t="str">
        <f ca="1">IFERROR(__xludf.DUMMYFUNCTION("""COMPUTED_VALUE"""),"")</f>
        <v/>
      </c>
      <c r="D725" s="54" t="str">
        <f ca="1">IFERROR(__xludf.DUMMYFUNCTION("""COMPUTED_VALUE"""),"")</f>
        <v/>
      </c>
      <c r="E725" s="55" t="str">
        <f ca="1">IFERROR(__xludf.DUMMYFUNCTION("""COMPUTED_VALUE"""),"")</f>
        <v/>
      </c>
      <c r="F725" s="54" t="str">
        <f ca="1">IFERROR(__xludf.DUMMYFUNCTION("""COMPUTED_VALUE"""),"")</f>
        <v/>
      </c>
      <c r="G725" s="38" t="str">
        <f ca="1">IFERROR(__xludf.DUMMYFUNCTION("""COMPUTED_VALUE"""),"")</f>
        <v/>
      </c>
      <c r="H725" s="38" t="str">
        <f ca="1">IFERROR(__xludf.DUMMYFUNCTION("""COMPUTED_VALUE"""),"")</f>
        <v/>
      </c>
    </row>
    <row r="726" spans="1:8" ht="12.75">
      <c r="A726" s="36" t="str">
        <f ca="1">IFERROR(__xludf.DUMMYFUNCTION("""COMPUTED_VALUE"""),"")</f>
        <v/>
      </c>
      <c r="B726" s="38"/>
      <c r="C726" s="54" t="str">
        <f ca="1">IFERROR(__xludf.DUMMYFUNCTION("""COMPUTED_VALUE"""),"")</f>
        <v/>
      </c>
      <c r="D726" s="54" t="str">
        <f ca="1">IFERROR(__xludf.DUMMYFUNCTION("""COMPUTED_VALUE"""),"")</f>
        <v/>
      </c>
      <c r="E726" s="55" t="str">
        <f ca="1">IFERROR(__xludf.DUMMYFUNCTION("""COMPUTED_VALUE"""),"")</f>
        <v/>
      </c>
      <c r="F726" s="54" t="str">
        <f ca="1">IFERROR(__xludf.DUMMYFUNCTION("""COMPUTED_VALUE"""),"")</f>
        <v/>
      </c>
      <c r="G726" s="38" t="str">
        <f ca="1">IFERROR(__xludf.DUMMYFUNCTION("""COMPUTED_VALUE"""),"")</f>
        <v/>
      </c>
      <c r="H726" s="38" t="str">
        <f ca="1">IFERROR(__xludf.DUMMYFUNCTION("""COMPUTED_VALUE"""),"")</f>
        <v/>
      </c>
    </row>
    <row r="727" spans="1:8" ht="12.75">
      <c r="A727" s="36" t="str">
        <f ca="1">IFERROR(__xludf.DUMMYFUNCTION("""COMPUTED_VALUE"""),"")</f>
        <v/>
      </c>
      <c r="B727" s="38"/>
      <c r="C727" s="54" t="str">
        <f ca="1">IFERROR(__xludf.DUMMYFUNCTION("""COMPUTED_VALUE"""),"")</f>
        <v/>
      </c>
      <c r="D727" s="54" t="str">
        <f ca="1">IFERROR(__xludf.DUMMYFUNCTION("""COMPUTED_VALUE"""),"")</f>
        <v/>
      </c>
      <c r="E727" s="55" t="str">
        <f ca="1">IFERROR(__xludf.DUMMYFUNCTION("""COMPUTED_VALUE"""),"")</f>
        <v/>
      </c>
      <c r="F727" s="54" t="str">
        <f ca="1">IFERROR(__xludf.DUMMYFUNCTION("""COMPUTED_VALUE"""),"")</f>
        <v/>
      </c>
      <c r="G727" s="38" t="str">
        <f ca="1">IFERROR(__xludf.DUMMYFUNCTION("""COMPUTED_VALUE"""),"")</f>
        <v/>
      </c>
      <c r="H727" s="38" t="str">
        <f ca="1">IFERROR(__xludf.DUMMYFUNCTION("""COMPUTED_VALUE"""),"")</f>
        <v/>
      </c>
    </row>
    <row r="728" spans="1:8" ht="12.75">
      <c r="A728" s="36" t="str">
        <f ca="1">IFERROR(__xludf.DUMMYFUNCTION("""COMPUTED_VALUE"""),"")</f>
        <v/>
      </c>
      <c r="B728" s="38"/>
      <c r="C728" s="54" t="str">
        <f ca="1">IFERROR(__xludf.DUMMYFUNCTION("""COMPUTED_VALUE"""),"")</f>
        <v/>
      </c>
      <c r="D728" s="54" t="str">
        <f ca="1">IFERROR(__xludf.DUMMYFUNCTION("""COMPUTED_VALUE"""),"")</f>
        <v/>
      </c>
      <c r="E728" s="55" t="str">
        <f ca="1">IFERROR(__xludf.DUMMYFUNCTION("""COMPUTED_VALUE"""),"")</f>
        <v/>
      </c>
      <c r="F728" s="54" t="str">
        <f ca="1">IFERROR(__xludf.DUMMYFUNCTION("""COMPUTED_VALUE"""),"")</f>
        <v/>
      </c>
      <c r="G728" s="38" t="str">
        <f ca="1">IFERROR(__xludf.DUMMYFUNCTION("""COMPUTED_VALUE"""),"")</f>
        <v/>
      </c>
      <c r="H728" s="38" t="str">
        <f ca="1">IFERROR(__xludf.DUMMYFUNCTION("""COMPUTED_VALUE"""),"")</f>
        <v/>
      </c>
    </row>
    <row r="729" spans="1:8" ht="12.75">
      <c r="A729" s="36" t="str">
        <f ca="1">IFERROR(__xludf.DUMMYFUNCTION("""COMPUTED_VALUE"""),"")</f>
        <v/>
      </c>
      <c r="B729" s="38"/>
      <c r="C729" s="54" t="str">
        <f ca="1">IFERROR(__xludf.DUMMYFUNCTION("""COMPUTED_VALUE"""),"")</f>
        <v/>
      </c>
      <c r="D729" s="54" t="str">
        <f ca="1">IFERROR(__xludf.DUMMYFUNCTION("""COMPUTED_VALUE"""),"")</f>
        <v/>
      </c>
      <c r="E729" s="55" t="str">
        <f ca="1">IFERROR(__xludf.DUMMYFUNCTION("""COMPUTED_VALUE"""),"")</f>
        <v/>
      </c>
      <c r="F729" s="54" t="str">
        <f ca="1">IFERROR(__xludf.DUMMYFUNCTION("""COMPUTED_VALUE"""),"")</f>
        <v/>
      </c>
      <c r="G729" s="38" t="str">
        <f ca="1">IFERROR(__xludf.DUMMYFUNCTION("""COMPUTED_VALUE"""),"")</f>
        <v/>
      </c>
      <c r="H729" s="38" t="str">
        <f ca="1">IFERROR(__xludf.DUMMYFUNCTION("""COMPUTED_VALUE"""),"")</f>
        <v/>
      </c>
    </row>
    <row r="730" spans="1:8" ht="12.75">
      <c r="A730" s="36" t="str">
        <f ca="1">IFERROR(__xludf.DUMMYFUNCTION("""COMPUTED_VALUE"""),"")</f>
        <v/>
      </c>
      <c r="B730" s="38"/>
      <c r="C730" s="54" t="str">
        <f ca="1">IFERROR(__xludf.DUMMYFUNCTION("""COMPUTED_VALUE"""),"")</f>
        <v/>
      </c>
      <c r="D730" s="54" t="str">
        <f ca="1">IFERROR(__xludf.DUMMYFUNCTION("""COMPUTED_VALUE"""),"")</f>
        <v/>
      </c>
      <c r="E730" s="55" t="str">
        <f ca="1">IFERROR(__xludf.DUMMYFUNCTION("""COMPUTED_VALUE"""),"")</f>
        <v/>
      </c>
      <c r="F730" s="54" t="str">
        <f ca="1">IFERROR(__xludf.DUMMYFUNCTION("""COMPUTED_VALUE"""),"")</f>
        <v/>
      </c>
      <c r="G730" s="38" t="str">
        <f ca="1">IFERROR(__xludf.DUMMYFUNCTION("""COMPUTED_VALUE"""),"")</f>
        <v/>
      </c>
      <c r="H730" s="38" t="str">
        <f ca="1">IFERROR(__xludf.DUMMYFUNCTION("""COMPUTED_VALUE"""),"")</f>
        <v/>
      </c>
    </row>
    <row r="731" spans="1:8" ht="12.75">
      <c r="A731" s="36" t="str">
        <f ca="1">IFERROR(__xludf.DUMMYFUNCTION("""COMPUTED_VALUE"""),"")</f>
        <v/>
      </c>
      <c r="B731" s="38"/>
      <c r="C731" s="54" t="str">
        <f ca="1">IFERROR(__xludf.DUMMYFUNCTION("""COMPUTED_VALUE"""),"")</f>
        <v/>
      </c>
      <c r="D731" s="54" t="str">
        <f ca="1">IFERROR(__xludf.DUMMYFUNCTION("""COMPUTED_VALUE"""),"")</f>
        <v/>
      </c>
      <c r="E731" s="55" t="str">
        <f ca="1">IFERROR(__xludf.DUMMYFUNCTION("""COMPUTED_VALUE"""),"")</f>
        <v/>
      </c>
      <c r="F731" s="54" t="str">
        <f ca="1">IFERROR(__xludf.DUMMYFUNCTION("""COMPUTED_VALUE"""),"")</f>
        <v/>
      </c>
      <c r="G731" s="38" t="str">
        <f ca="1">IFERROR(__xludf.DUMMYFUNCTION("""COMPUTED_VALUE"""),"")</f>
        <v/>
      </c>
      <c r="H731" s="38" t="str">
        <f ca="1">IFERROR(__xludf.DUMMYFUNCTION("""COMPUTED_VALUE"""),"")</f>
        <v/>
      </c>
    </row>
    <row r="732" spans="1:8" ht="12.75">
      <c r="A732" s="36" t="str">
        <f ca="1">IFERROR(__xludf.DUMMYFUNCTION("""COMPUTED_VALUE"""),"")</f>
        <v/>
      </c>
      <c r="B732" s="38"/>
      <c r="C732" s="54" t="str">
        <f ca="1">IFERROR(__xludf.DUMMYFUNCTION("""COMPUTED_VALUE"""),"")</f>
        <v/>
      </c>
      <c r="D732" s="54" t="str">
        <f ca="1">IFERROR(__xludf.DUMMYFUNCTION("""COMPUTED_VALUE"""),"")</f>
        <v/>
      </c>
      <c r="E732" s="55" t="str">
        <f ca="1">IFERROR(__xludf.DUMMYFUNCTION("""COMPUTED_VALUE"""),"")</f>
        <v/>
      </c>
      <c r="F732" s="54" t="str">
        <f ca="1">IFERROR(__xludf.DUMMYFUNCTION("""COMPUTED_VALUE"""),"")</f>
        <v/>
      </c>
      <c r="G732" s="38" t="str">
        <f ca="1">IFERROR(__xludf.DUMMYFUNCTION("""COMPUTED_VALUE"""),"")</f>
        <v/>
      </c>
      <c r="H732" s="38" t="str">
        <f ca="1">IFERROR(__xludf.DUMMYFUNCTION("""COMPUTED_VALUE"""),"")</f>
        <v/>
      </c>
    </row>
    <row r="733" spans="1:8" ht="12.75">
      <c r="A733" s="36" t="str">
        <f ca="1">IFERROR(__xludf.DUMMYFUNCTION("""COMPUTED_VALUE"""),"")</f>
        <v/>
      </c>
      <c r="B733" s="38"/>
      <c r="C733" s="54" t="str">
        <f ca="1">IFERROR(__xludf.DUMMYFUNCTION("""COMPUTED_VALUE"""),"")</f>
        <v/>
      </c>
      <c r="D733" s="54" t="str">
        <f ca="1">IFERROR(__xludf.DUMMYFUNCTION("""COMPUTED_VALUE"""),"")</f>
        <v/>
      </c>
      <c r="E733" s="55" t="str">
        <f ca="1">IFERROR(__xludf.DUMMYFUNCTION("""COMPUTED_VALUE"""),"")</f>
        <v/>
      </c>
      <c r="F733" s="54" t="str">
        <f ca="1">IFERROR(__xludf.DUMMYFUNCTION("""COMPUTED_VALUE"""),"")</f>
        <v/>
      </c>
      <c r="G733" s="38" t="str">
        <f ca="1">IFERROR(__xludf.DUMMYFUNCTION("""COMPUTED_VALUE"""),"")</f>
        <v/>
      </c>
      <c r="H733" s="38" t="str">
        <f ca="1">IFERROR(__xludf.DUMMYFUNCTION("""COMPUTED_VALUE"""),"")</f>
        <v/>
      </c>
    </row>
    <row r="734" spans="1:8" ht="12.75">
      <c r="A734" s="36" t="str">
        <f ca="1">IFERROR(__xludf.DUMMYFUNCTION("""COMPUTED_VALUE"""),"")</f>
        <v/>
      </c>
      <c r="B734" s="38"/>
      <c r="C734" s="54" t="str">
        <f ca="1">IFERROR(__xludf.DUMMYFUNCTION("""COMPUTED_VALUE"""),"")</f>
        <v/>
      </c>
      <c r="D734" s="54" t="str">
        <f ca="1">IFERROR(__xludf.DUMMYFUNCTION("""COMPUTED_VALUE"""),"")</f>
        <v/>
      </c>
      <c r="E734" s="55" t="str">
        <f ca="1">IFERROR(__xludf.DUMMYFUNCTION("""COMPUTED_VALUE"""),"")</f>
        <v/>
      </c>
      <c r="F734" s="54" t="str">
        <f ca="1">IFERROR(__xludf.DUMMYFUNCTION("""COMPUTED_VALUE"""),"")</f>
        <v/>
      </c>
      <c r="G734" s="38" t="str">
        <f ca="1">IFERROR(__xludf.DUMMYFUNCTION("""COMPUTED_VALUE"""),"")</f>
        <v/>
      </c>
      <c r="H734" s="38" t="str">
        <f ca="1">IFERROR(__xludf.DUMMYFUNCTION("""COMPUTED_VALUE"""),"")</f>
        <v/>
      </c>
    </row>
    <row r="735" spans="1:8" ht="12.75">
      <c r="A735" s="36" t="str">
        <f ca="1">IFERROR(__xludf.DUMMYFUNCTION("""COMPUTED_VALUE"""),"")</f>
        <v/>
      </c>
      <c r="B735" s="38"/>
      <c r="C735" s="54" t="str">
        <f ca="1">IFERROR(__xludf.DUMMYFUNCTION("""COMPUTED_VALUE"""),"")</f>
        <v/>
      </c>
      <c r="D735" s="54" t="str">
        <f ca="1">IFERROR(__xludf.DUMMYFUNCTION("""COMPUTED_VALUE"""),"")</f>
        <v/>
      </c>
      <c r="E735" s="55" t="str">
        <f ca="1">IFERROR(__xludf.DUMMYFUNCTION("""COMPUTED_VALUE"""),"")</f>
        <v/>
      </c>
      <c r="F735" s="54" t="str">
        <f ca="1">IFERROR(__xludf.DUMMYFUNCTION("""COMPUTED_VALUE"""),"")</f>
        <v/>
      </c>
      <c r="G735" s="38" t="str">
        <f ca="1">IFERROR(__xludf.DUMMYFUNCTION("""COMPUTED_VALUE"""),"")</f>
        <v/>
      </c>
      <c r="H735" s="38" t="str">
        <f ca="1">IFERROR(__xludf.DUMMYFUNCTION("""COMPUTED_VALUE"""),"")</f>
        <v/>
      </c>
    </row>
    <row r="736" spans="1:8" ht="12.75">
      <c r="A736" s="36" t="str">
        <f ca="1">IFERROR(__xludf.DUMMYFUNCTION("""COMPUTED_VALUE"""),"")</f>
        <v/>
      </c>
      <c r="B736" s="38"/>
      <c r="C736" s="54" t="str">
        <f ca="1">IFERROR(__xludf.DUMMYFUNCTION("""COMPUTED_VALUE"""),"")</f>
        <v/>
      </c>
      <c r="D736" s="54" t="str">
        <f ca="1">IFERROR(__xludf.DUMMYFUNCTION("""COMPUTED_VALUE"""),"")</f>
        <v/>
      </c>
      <c r="E736" s="55" t="str">
        <f ca="1">IFERROR(__xludf.DUMMYFUNCTION("""COMPUTED_VALUE"""),"")</f>
        <v/>
      </c>
      <c r="F736" s="54" t="str">
        <f ca="1">IFERROR(__xludf.DUMMYFUNCTION("""COMPUTED_VALUE"""),"")</f>
        <v/>
      </c>
      <c r="G736" s="38" t="str">
        <f ca="1">IFERROR(__xludf.DUMMYFUNCTION("""COMPUTED_VALUE"""),"")</f>
        <v/>
      </c>
      <c r="H736" s="38" t="str">
        <f ca="1">IFERROR(__xludf.DUMMYFUNCTION("""COMPUTED_VALUE"""),"")</f>
        <v/>
      </c>
    </row>
    <row r="737" spans="1:8" ht="12.75">
      <c r="A737" s="36" t="str">
        <f ca="1">IFERROR(__xludf.DUMMYFUNCTION("""COMPUTED_VALUE"""),"")</f>
        <v/>
      </c>
      <c r="B737" s="38"/>
      <c r="C737" s="54" t="str">
        <f ca="1">IFERROR(__xludf.DUMMYFUNCTION("""COMPUTED_VALUE"""),"")</f>
        <v/>
      </c>
      <c r="D737" s="54" t="str">
        <f ca="1">IFERROR(__xludf.DUMMYFUNCTION("""COMPUTED_VALUE"""),"")</f>
        <v/>
      </c>
      <c r="E737" s="55" t="str">
        <f ca="1">IFERROR(__xludf.DUMMYFUNCTION("""COMPUTED_VALUE"""),"")</f>
        <v/>
      </c>
      <c r="F737" s="54" t="str">
        <f ca="1">IFERROR(__xludf.DUMMYFUNCTION("""COMPUTED_VALUE"""),"")</f>
        <v/>
      </c>
      <c r="G737" s="38" t="str">
        <f ca="1">IFERROR(__xludf.DUMMYFUNCTION("""COMPUTED_VALUE"""),"")</f>
        <v/>
      </c>
      <c r="H737" s="38" t="str">
        <f ca="1">IFERROR(__xludf.DUMMYFUNCTION("""COMPUTED_VALUE"""),"")</f>
        <v/>
      </c>
    </row>
    <row r="738" spans="1:8" ht="12.75">
      <c r="A738" s="36" t="str">
        <f ca="1">IFERROR(__xludf.DUMMYFUNCTION("""COMPUTED_VALUE"""),"")</f>
        <v/>
      </c>
      <c r="B738" s="38"/>
      <c r="C738" s="54" t="str">
        <f ca="1">IFERROR(__xludf.DUMMYFUNCTION("""COMPUTED_VALUE"""),"")</f>
        <v/>
      </c>
      <c r="D738" s="54" t="str">
        <f ca="1">IFERROR(__xludf.DUMMYFUNCTION("""COMPUTED_VALUE"""),"")</f>
        <v/>
      </c>
      <c r="E738" s="55" t="str">
        <f ca="1">IFERROR(__xludf.DUMMYFUNCTION("""COMPUTED_VALUE"""),"")</f>
        <v/>
      </c>
      <c r="F738" s="54" t="str">
        <f ca="1">IFERROR(__xludf.DUMMYFUNCTION("""COMPUTED_VALUE"""),"")</f>
        <v/>
      </c>
      <c r="G738" s="38" t="str">
        <f ca="1">IFERROR(__xludf.DUMMYFUNCTION("""COMPUTED_VALUE"""),"")</f>
        <v/>
      </c>
      <c r="H738" s="38" t="str">
        <f ca="1">IFERROR(__xludf.DUMMYFUNCTION("""COMPUTED_VALUE"""),"")</f>
        <v/>
      </c>
    </row>
    <row r="739" spans="1:8" ht="12.75">
      <c r="A739" s="36" t="str">
        <f ca="1">IFERROR(__xludf.DUMMYFUNCTION("""COMPUTED_VALUE"""),"")</f>
        <v/>
      </c>
      <c r="B739" s="38"/>
      <c r="C739" s="54" t="str">
        <f ca="1">IFERROR(__xludf.DUMMYFUNCTION("""COMPUTED_VALUE"""),"")</f>
        <v/>
      </c>
      <c r="D739" s="54" t="str">
        <f ca="1">IFERROR(__xludf.DUMMYFUNCTION("""COMPUTED_VALUE"""),"")</f>
        <v/>
      </c>
      <c r="E739" s="55" t="str">
        <f ca="1">IFERROR(__xludf.DUMMYFUNCTION("""COMPUTED_VALUE"""),"")</f>
        <v/>
      </c>
      <c r="F739" s="54" t="str">
        <f ca="1">IFERROR(__xludf.DUMMYFUNCTION("""COMPUTED_VALUE"""),"")</f>
        <v/>
      </c>
      <c r="G739" s="38" t="str">
        <f ca="1">IFERROR(__xludf.DUMMYFUNCTION("""COMPUTED_VALUE"""),"")</f>
        <v/>
      </c>
      <c r="H739" s="38" t="str">
        <f ca="1">IFERROR(__xludf.DUMMYFUNCTION("""COMPUTED_VALUE"""),"")</f>
        <v/>
      </c>
    </row>
    <row r="740" spans="1:8" ht="12.75">
      <c r="A740" s="36" t="str">
        <f ca="1">IFERROR(__xludf.DUMMYFUNCTION("""COMPUTED_VALUE"""),"")</f>
        <v/>
      </c>
      <c r="B740" s="38"/>
      <c r="C740" s="54" t="str">
        <f ca="1">IFERROR(__xludf.DUMMYFUNCTION("""COMPUTED_VALUE"""),"")</f>
        <v/>
      </c>
      <c r="D740" s="54" t="str">
        <f ca="1">IFERROR(__xludf.DUMMYFUNCTION("""COMPUTED_VALUE"""),"")</f>
        <v/>
      </c>
      <c r="E740" s="55" t="str">
        <f ca="1">IFERROR(__xludf.DUMMYFUNCTION("""COMPUTED_VALUE"""),"")</f>
        <v/>
      </c>
      <c r="F740" s="54" t="str">
        <f ca="1">IFERROR(__xludf.DUMMYFUNCTION("""COMPUTED_VALUE"""),"")</f>
        <v/>
      </c>
      <c r="G740" s="38" t="str">
        <f ca="1">IFERROR(__xludf.DUMMYFUNCTION("""COMPUTED_VALUE"""),"")</f>
        <v/>
      </c>
      <c r="H740" s="38" t="str">
        <f ca="1">IFERROR(__xludf.DUMMYFUNCTION("""COMPUTED_VALUE"""),"")</f>
        <v/>
      </c>
    </row>
    <row r="741" spans="1:8" ht="12.75">
      <c r="A741" s="36" t="str">
        <f ca="1">IFERROR(__xludf.DUMMYFUNCTION("""COMPUTED_VALUE"""),"")</f>
        <v/>
      </c>
      <c r="B741" s="38"/>
      <c r="C741" s="54" t="str">
        <f ca="1">IFERROR(__xludf.DUMMYFUNCTION("""COMPUTED_VALUE"""),"")</f>
        <v/>
      </c>
      <c r="D741" s="54" t="str">
        <f ca="1">IFERROR(__xludf.DUMMYFUNCTION("""COMPUTED_VALUE"""),"")</f>
        <v/>
      </c>
      <c r="E741" s="55" t="str">
        <f ca="1">IFERROR(__xludf.DUMMYFUNCTION("""COMPUTED_VALUE"""),"")</f>
        <v/>
      </c>
      <c r="F741" s="54" t="str">
        <f ca="1">IFERROR(__xludf.DUMMYFUNCTION("""COMPUTED_VALUE"""),"")</f>
        <v/>
      </c>
      <c r="G741" s="38" t="str">
        <f ca="1">IFERROR(__xludf.DUMMYFUNCTION("""COMPUTED_VALUE"""),"")</f>
        <v/>
      </c>
      <c r="H741" s="38" t="str">
        <f ca="1">IFERROR(__xludf.DUMMYFUNCTION("""COMPUTED_VALUE"""),"")</f>
        <v/>
      </c>
    </row>
    <row r="742" spans="1:8" ht="12.75">
      <c r="A742" s="36" t="str">
        <f ca="1">IFERROR(__xludf.DUMMYFUNCTION("""COMPUTED_VALUE"""),"")</f>
        <v/>
      </c>
      <c r="B742" s="38"/>
      <c r="C742" s="54" t="str">
        <f ca="1">IFERROR(__xludf.DUMMYFUNCTION("""COMPUTED_VALUE"""),"")</f>
        <v/>
      </c>
      <c r="D742" s="54" t="str">
        <f ca="1">IFERROR(__xludf.DUMMYFUNCTION("""COMPUTED_VALUE"""),"")</f>
        <v/>
      </c>
      <c r="E742" s="55" t="str">
        <f ca="1">IFERROR(__xludf.DUMMYFUNCTION("""COMPUTED_VALUE"""),"")</f>
        <v/>
      </c>
      <c r="F742" s="54" t="str">
        <f ca="1">IFERROR(__xludf.DUMMYFUNCTION("""COMPUTED_VALUE"""),"")</f>
        <v/>
      </c>
      <c r="G742" s="38" t="str">
        <f ca="1">IFERROR(__xludf.DUMMYFUNCTION("""COMPUTED_VALUE"""),"")</f>
        <v/>
      </c>
      <c r="H742" s="38" t="str">
        <f ca="1">IFERROR(__xludf.DUMMYFUNCTION("""COMPUTED_VALUE"""),"")</f>
        <v/>
      </c>
    </row>
    <row r="743" spans="1:8" ht="12.75">
      <c r="A743" s="36" t="str">
        <f ca="1">IFERROR(__xludf.DUMMYFUNCTION("""COMPUTED_VALUE"""),"")</f>
        <v/>
      </c>
      <c r="B743" s="38"/>
      <c r="C743" s="54" t="str">
        <f ca="1">IFERROR(__xludf.DUMMYFUNCTION("""COMPUTED_VALUE"""),"")</f>
        <v/>
      </c>
      <c r="D743" s="54" t="str">
        <f ca="1">IFERROR(__xludf.DUMMYFUNCTION("""COMPUTED_VALUE"""),"")</f>
        <v/>
      </c>
      <c r="E743" s="55" t="str">
        <f ca="1">IFERROR(__xludf.DUMMYFUNCTION("""COMPUTED_VALUE"""),"")</f>
        <v/>
      </c>
      <c r="F743" s="54" t="str">
        <f ca="1">IFERROR(__xludf.DUMMYFUNCTION("""COMPUTED_VALUE"""),"")</f>
        <v/>
      </c>
      <c r="G743" s="38" t="str">
        <f ca="1">IFERROR(__xludf.DUMMYFUNCTION("""COMPUTED_VALUE"""),"")</f>
        <v/>
      </c>
      <c r="H743" s="38" t="str">
        <f ca="1">IFERROR(__xludf.DUMMYFUNCTION("""COMPUTED_VALUE"""),"")</f>
        <v/>
      </c>
    </row>
    <row r="744" spans="1:8" ht="12.75">
      <c r="A744" s="36" t="str">
        <f ca="1">IFERROR(__xludf.DUMMYFUNCTION("""COMPUTED_VALUE"""),"")</f>
        <v/>
      </c>
      <c r="B744" s="38"/>
      <c r="C744" s="54" t="str">
        <f ca="1">IFERROR(__xludf.DUMMYFUNCTION("""COMPUTED_VALUE"""),"")</f>
        <v/>
      </c>
      <c r="D744" s="54" t="str">
        <f ca="1">IFERROR(__xludf.DUMMYFUNCTION("""COMPUTED_VALUE"""),"")</f>
        <v/>
      </c>
      <c r="E744" s="55" t="str">
        <f ca="1">IFERROR(__xludf.DUMMYFUNCTION("""COMPUTED_VALUE"""),"")</f>
        <v/>
      </c>
      <c r="F744" s="54" t="str">
        <f ca="1">IFERROR(__xludf.DUMMYFUNCTION("""COMPUTED_VALUE"""),"")</f>
        <v/>
      </c>
      <c r="G744" s="38" t="str">
        <f ca="1">IFERROR(__xludf.DUMMYFUNCTION("""COMPUTED_VALUE"""),"")</f>
        <v/>
      </c>
      <c r="H744" s="38" t="str">
        <f ca="1">IFERROR(__xludf.DUMMYFUNCTION("""COMPUTED_VALUE"""),"")</f>
        <v/>
      </c>
    </row>
    <row r="745" spans="1:8" ht="12.75">
      <c r="A745" s="36" t="str">
        <f ca="1">IFERROR(__xludf.DUMMYFUNCTION("""COMPUTED_VALUE"""),"")</f>
        <v/>
      </c>
      <c r="B745" s="38"/>
      <c r="C745" s="54" t="str">
        <f ca="1">IFERROR(__xludf.DUMMYFUNCTION("""COMPUTED_VALUE"""),"")</f>
        <v/>
      </c>
      <c r="D745" s="54" t="str">
        <f ca="1">IFERROR(__xludf.DUMMYFUNCTION("""COMPUTED_VALUE"""),"")</f>
        <v/>
      </c>
      <c r="E745" s="55" t="str">
        <f ca="1">IFERROR(__xludf.DUMMYFUNCTION("""COMPUTED_VALUE"""),"")</f>
        <v/>
      </c>
      <c r="F745" s="54" t="str">
        <f ca="1">IFERROR(__xludf.DUMMYFUNCTION("""COMPUTED_VALUE"""),"")</f>
        <v/>
      </c>
      <c r="G745" s="38" t="str">
        <f ca="1">IFERROR(__xludf.DUMMYFUNCTION("""COMPUTED_VALUE"""),"")</f>
        <v/>
      </c>
      <c r="H745" s="38" t="str">
        <f ca="1">IFERROR(__xludf.DUMMYFUNCTION("""COMPUTED_VALUE"""),"")</f>
        <v/>
      </c>
    </row>
    <row r="746" spans="1:8" ht="12.75">
      <c r="A746" s="36" t="str">
        <f ca="1">IFERROR(__xludf.DUMMYFUNCTION("""COMPUTED_VALUE"""),"")</f>
        <v/>
      </c>
      <c r="B746" s="38"/>
      <c r="C746" s="54" t="str">
        <f ca="1">IFERROR(__xludf.DUMMYFUNCTION("""COMPUTED_VALUE"""),"")</f>
        <v/>
      </c>
      <c r="D746" s="54" t="str">
        <f ca="1">IFERROR(__xludf.DUMMYFUNCTION("""COMPUTED_VALUE"""),"")</f>
        <v/>
      </c>
      <c r="E746" s="55" t="str">
        <f ca="1">IFERROR(__xludf.DUMMYFUNCTION("""COMPUTED_VALUE"""),"")</f>
        <v/>
      </c>
      <c r="F746" s="54" t="str">
        <f ca="1">IFERROR(__xludf.DUMMYFUNCTION("""COMPUTED_VALUE"""),"")</f>
        <v/>
      </c>
      <c r="G746" s="38" t="str">
        <f ca="1">IFERROR(__xludf.DUMMYFUNCTION("""COMPUTED_VALUE"""),"")</f>
        <v/>
      </c>
      <c r="H746" s="38" t="str">
        <f ca="1">IFERROR(__xludf.DUMMYFUNCTION("""COMPUTED_VALUE"""),"")</f>
        <v/>
      </c>
    </row>
    <row r="747" spans="1:8" ht="12.75">
      <c r="A747" s="36" t="str">
        <f ca="1">IFERROR(__xludf.DUMMYFUNCTION("""COMPUTED_VALUE"""),"")</f>
        <v/>
      </c>
      <c r="B747" s="38"/>
      <c r="C747" s="54" t="str">
        <f ca="1">IFERROR(__xludf.DUMMYFUNCTION("""COMPUTED_VALUE"""),"")</f>
        <v/>
      </c>
      <c r="D747" s="54" t="str">
        <f ca="1">IFERROR(__xludf.DUMMYFUNCTION("""COMPUTED_VALUE"""),"")</f>
        <v/>
      </c>
      <c r="E747" s="55" t="str">
        <f ca="1">IFERROR(__xludf.DUMMYFUNCTION("""COMPUTED_VALUE"""),"")</f>
        <v/>
      </c>
      <c r="F747" s="54" t="str">
        <f ca="1">IFERROR(__xludf.DUMMYFUNCTION("""COMPUTED_VALUE"""),"")</f>
        <v/>
      </c>
      <c r="G747" s="38" t="str">
        <f ca="1">IFERROR(__xludf.DUMMYFUNCTION("""COMPUTED_VALUE"""),"")</f>
        <v/>
      </c>
      <c r="H747" s="38" t="str">
        <f ca="1">IFERROR(__xludf.DUMMYFUNCTION("""COMPUTED_VALUE"""),"")</f>
        <v/>
      </c>
    </row>
    <row r="748" spans="1:8" ht="12.75">
      <c r="A748" s="36" t="str">
        <f ca="1">IFERROR(__xludf.DUMMYFUNCTION("""COMPUTED_VALUE"""),"")</f>
        <v/>
      </c>
      <c r="B748" s="38"/>
      <c r="C748" s="54" t="str">
        <f ca="1">IFERROR(__xludf.DUMMYFUNCTION("""COMPUTED_VALUE"""),"")</f>
        <v/>
      </c>
      <c r="D748" s="54" t="str">
        <f ca="1">IFERROR(__xludf.DUMMYFUNCTION("""COMPUTED_VALUE"""),"")</f>
        <v/>
      </c>
      <c r="E748" s="55" t="str">
        <f ca="1">IFERROR(__xludf.DUMMYFUNCTION("""COMPUTED_VALUE"""),"")</f>
        <v/>
      </c>
      <c r="F748" s="54" t="str">
        <f ca="1">IFERROR(__xludf.DUMMYFUNCTION("""COMPUTED_VALUE"""),"")</f>
        <v/>
      </c>
      <c r="G748" s="38" t="str">
        <f ca="1">IFERROR(__xludf.DUMMYFUNCTION("""COMPUTED_VALUE"""),"")</f>
        <v/>
      </c>
      <c r="H748" s="38" t="str">
        <f ca="1">IFERROR(__xludf.DUMMYFUNCTION("""COMPUTED_VALUE"""),"")</f>
        <v/>
      </c>
    </row>
    <row r="749" spans="1:8" ht="12.75">
      <c r="A749" s="36" t="str">
        <f ca="1">IFERROR(__xludf.DUMMYFUNCTION("""COMPUTED_VALUE"""),"")</f>
        <v/>
      </c>
      <c r="B749" s="38"/>
      <c r="C749" s="54" t="str">
        <f ca="1">IFERROR(__xludf.DUMMYFUNCTION("""COMPUTED_VALUE"""),"")</f>
        <v/>
      </c>
      <c r="D749" s="54" t="str">
        <f ca="1">IFERROR(__xludf.DUMMYFUNCTION("""COMPUTED_VALUE"""),"")</f>
        <v/>
      </c>
      <c r="E749" s="55" t="str">
        <f ca="1">IFERROR(__xludf.DUMMYFUNCTION("""COMPUTED_VALUE"""),"")</f>
        <v/>
      </c>
      <c r="F749" s="54" t="str">
        <f ca="1">IFERROR(__xludf.DUMMYFUNCTION("""COMPUTED_VALUE"""),"")</f>
        <v/>
      </c>
      <c r="G749" s="38" t="str">
        <f ca="1">IFERROR(__xludf.DUMMYFUNCTION("""COMPUTED_VALUE"""),"")</f>
        <v/>
      </c>
      <c r="H749" s="38" t="str">
        <f ca="1">IFERROR(__xludf.DUMMYFUNCTION("""COMPUTED_VALUE"""),"")</f>
        <v/>
      </c>
    </row>
    <row r="750" spans="1:8" ht="12.75">
      <c r="A750" s="36" t="str">
        <f ca="1">IFERROR(__xludf.DUMMYFUNCTION("""COMPUTED_VALUE"""),"")</f>
        <v/>
      </c>
      <c r="B750" s="38"/>
      <c r="C750" s="54" t="str">
        <f ca="1">IFERROR(__xludf.DUMMYFUNCTION("""COMPUTED_VALUE"""),"")</f>
        <v/>
      </c>
      <c r="D750" s="54" t="str">
        <f ca="1">IFERROR(__xludf.DUMMYFUNCTION("""COMPUTED_VALUE"""),"")</f>
        <v/>
      </c>
      <c r="E750" s="55" t="str">
        <f ca="1">IFERROR(__xludf.DUMMYFUNCTION("""COMPUTED_VALUE"""),"")</f>
        <v/>
      </c>
      <c r="F750" s="54" t="str">
        <f ca="1">IFERROR(__xludf.DUMMYFUNCTION("""COMPUTED_VALUE"""),"")</f>
        <v/>
      </c>
      <c r="G750" s="38" t="str">
        <f ca="1">IFERROR(__xludf.DUMMYFUNCTION("""COMPUTED_VALUE"""),"")</f>
        <v/>
      </c>
      <c r="H750" s="38" t="str">
        <f ca="1">IFERROR(__xludf.DUMMYFUNCTION("""COMPUTED_VALUE"""),"")</f>
        <v/>
      </c>
    </row>
    <row r="751" spans="1:8" ht="12.75">
      <c r="A751" s="36" t="str">
        <f ca="1">IFERROR(__xludf.DUMMYFUNCTION("""COMPUTED_VALUE"""),"")</f>
        <v/>
      </c>
      <c r="B751" s="38"/>
      <c r="C751" s="54" t="str">
        <f ca="1">IFERROR(__xludf.DUMMYFUNCTION("""COMPUTED_VALUE"""),"")</f>
        <v/>
      </c>
      <c r="D751" s="54" t="str">
        <f ca="1">IFERROR(__xludf.DUMMYFUNCTION("""COMPUTED_VALUE"""),"")</f>
        <v/>
      </c>
      <c r="E751" s="55" t="str">
        <f ca="1">IFERROR(__xludf.DUMMYFUNCTION("""COMPUTED_VALUE"""),"")</f>
        <v/>
      </c>
      <c r="F751" s="54" t="str">
        <f ca="1">IFERROR(__xludf.DUMMYFUNCTION("""COMPUTED_VALUE"""),"")</f>
        <v/>
      </c>
      <c r="G751" s="38" t="str">
        <f ca="1">IFERROR(__xludf.DUMMYFUNCTION("""COMPUTED_VALUE"""),"")</f>
        <v/>
      </c>
      <c r="H751" s="38" t="str">
        <f ca="1">IFERROR(__xludf.DUMMYFUNCTION("""COMPUTED_VALUE"""),"")</f>
        <v/>
      </c>
    </row>
    <row r="752" spans="1:8" ht="12.75">
      <c r="A752" s="36" t="str">
        <f ca="1">IFERROR(__xludf.DUMMYFUNCTION("""COMPUTED_VALUE"""),"")</f>
        <v/>
      </c>
      <c r="B752" s="38"/>
      <c r="C752" s="54" t="str">
        <f ca="1">IFERROR(__xludf.DUMMYFUNCTION("""COMPUTED_VALUE"""),"")</f>
        <v/>
      </c>
      <c r="D752" s="54" t="str">
        <f ca="1">IFERROR(__xludf.DUMMYFUNCTION("""COMPUTED_VALUE"""),"")</f>
        <v/>
      </c>
      <c r="E752" s="55" t="str">
        <f ca="1">IFERROR(__xludf.DUMMYFUNCTION("""COMPUTED_VALUE"""),"")</f>
        <v/>
      </c>
      <c r="F752" s="54" t="str">
        <f ca="1">IFERROR(__xludf.DUMMYFUNCTION("""COMPUTED_VALUE"""),"")</f>
        <v/>
      </c>
      <c r="G752" s="38" t="str">
        <f ca="1">IFERROR(__xludf.DUMMYFUNCTION("""COMPUTED_VALUE"""),"")</f>
        <v/>
      </c>
      <c r="H752" s="38" t="str">
        <f ca="1">IFERROR(__xludf.DUMMYFUNCTION("""COMPUTED_VALUE"""),"")</f>
        <v/>
      </c>
    </row>
    <row r="753" spans="1:8" ht="12.75">
      <c r="A753" s="36" t="str">
        <f ca="1">IFERROR(__xludf.DUMMYFUNCTION("""COMPUTED_VALUE"""),"")</f>
        <v/>
      </c>
      <c r="B753" s="38"/>
      <c r="C753" s="54" t="str">
        <f ca="1">IFERROR(__xludf.DUMMYFUNCTION("""COMPUTED_VALUE"""),"")</f>
        <v/>
      </c>
      <c r="D753" s="54" t="str">
        <f ca="1">IFERROR(__xludf.DUMMYFUNCTION("""COMPUTED_VALUE"""),"")</f>
        <v/>
      </c>
      <c r="E753" s="55" t="str">
        <f ca="1">IFERROR(__xludf.DUMMYFUNCTION("""COMPUTED_VALUE"""),"")</f>
        <v/>
      </c>
      <c r="F753" s="54" t="str">
        <f ca="1">IFERROR(__xludf.DUMMYFUNCTION("""COMPUTED_VALUE"""),"")</f>
        <v/>
      </c>
      <c r="G753" s="38" t="str">
        <f ca="1">IFERROR(__xludf.DUMMYFUNCTION("""COMPUTED_VALUE"""),"")</f>
        <v/>
      </c>
      <c r="H753" s="38" t="str">
        <f ca="1">IFERROR(__xludf.DUMMYFUNCTION("""COMPUTED_VALUE"""),"")</f>
        <v/>
      </c>
    </row>
    <row r="754" spans="1:8" ht="12.75">
      <c r="A754" s="36" t="str">
        <f ca="1">IFERROR(__xludf.DUMMYFUNCTION("""COMPUTED_VALUE"""),"")</f>
        <v/>
      </c>
      <c r="B754" s="38"/>
      <c r="C754" s="54" t="str">
        <f ca="1">IFERROR(__xludf.DUMMYFUNCTION("""COMPUTED_VALUE"""),"")</f>
        <v/>
      </c>
      <c r="D754" s="54" t="str">
        <f ca="1">IFERROR(__xludf.DUMMYFUNCTION("""COMPUTED_VALUE"""),"")</f>
        <v/>
      </c>
      <c r="E754" s="55" t="str">
        <f ca="1">IFERROR(__xludf.DUMMYFUNCTION("""COMPUTED_VALUE"""),"")</f>
        <v/>
      </c>
      <c r="F754" s="54" t="str">
        <f ca="1">IFERROR(__xludf.DUMMYFUNCTION("""COMPUTED_VALUE"""),"")</f>
        <v/>
      </c>
      <c r="G754" s="38" t="str">
        <f ca="1">IFERROR(__xludf.DUMMYFUNCTION("""COMPUTED_VALUE"""),"")</f>
        <v/>
      </c>
      <c r="H754" s="38" t="str">
        <f ca="1">IFERROR(__xludf.DUMMYFUNCTION("""COMPUTED_VALUE"""),"")</f>
        <v/>
      </c>
    </row>
    <row r="755" spans="1:8" ht="12.75">
      <c r="A755" s="36" t="str">
        <f ca="1">IFERROR(__xludf.DUMMYFUNCTION("""COMPUTED_VALUE"""),"")</f>
        <v/>
      </c>
      <c r="B755" s="38"/>
      <c r="C755" s="54" t="str">
        <f ca="1">IFERROR(__xludf.DUMMYFUNCTION("""COMPUTED_VALUE"""),"")</f>
        <v/>
      </c>
      <c r="D755" s="54" t="str">
        <f ca="1">IFERROR(__xludf.DUMMYFUNCTION("""COMPUTED_VALUE"""),"")</f>
        <v/>
      </c>
      <c r="E755" s="55" t="str">
        <f ca="1">IFERROR(__xludf.DUMMYFUNCTION("""COMPUTED_VALUE"""),"")</f>
        <v/>
      </c>
      <c r="F755" s="54" t="str">
        <f ca="1">IFERROR(__xludf.DUMMYFUNCTION("""COMPUTED_VALUE"""),"")</f>
        <v/>
      </c>
      <c r="G755" s="38" t="str">
        <f ca="1">IFERROR(__xludf.DUMMYFUNCTION("""COMPUTED_VALUE"""),"")</f>
        <v/>
      </c>
      <c r="H755" s="38" t="str">
        <f ca="1">IFERROR(__xludf.DUMMYFUNCTION("""COMPUTED_VALUE"""),"")</f>
        <v/>
      </c>
    </row>
    <row r="756" spans="1:8" ht="12.75">
      <c r="A756" s="36" t="str">
        <f ca="1">IFERROR(__xludf.DUMMYFUNCTION("""COMPUTED_VALUE"""),"")</f>
        <v/>
      </c>
      <c r="B756" s="38"/>
      <c r="C756" s="54" t="str">
        <f ca="1">IFERROR(__xludf.DUMMYFUNCTION("""COMPUTED_VALUE"""),"")</f>
        <v/>
      </c>
      <c r="D756" s="54" t="str">
        <f ca="1">IFERROR(__xludf.DUMMYFUNCTION("""COMPUTED_VALUE"""),"")</f>
        <v/>
      </c>
      <c r="E756" s="55" t="str">
        <f ca="1">IFERROR(__xludf.DUMMYFUNCTION("""COMPUTED_VALUE"""),"")</f>
        <v/>
      </c>
      <c r="F756" s="54" t="str">
        <f ca="1">IFERROR(__xludf.DUMMYFUNCTION("""COMPUTED_VALUE"""),"")</f>
        <v/>
      </c>
      <c r="G756" s="38" t="str">
        <f ca="1">IFERROR(__xludf.DUMMYFUNCTION("""COMPUTED_VALUE"""),"")</f>
        <v/>
      </c>
      <c r="H756" s="38" t="str">
        <f ca="1">IFERROR(__xludf.DUMMYFUNCTION("""COMPUTED_VALUE"""),"")</f>
        <v/>
      </c>
    </row>
    <row r="757" spans="1:8" ht="12.75">
      <c r="A757" s="36" t="str">
        <f ca="1">IFERROR(__xludf.DUMMYFUNCTION("""COMPUTED_VALUE"""),"")</f>
        <v/>
      </c>
      <c r="B757" s="38"/>
      <c r="C757" s="54" t="str">
        <f ca="1">IFERROR(__xludf.DUMMYFUNCTION("""COMPUTED_VALUE"""),"")</f>
        <v/>
      </c>
      <c r="D757" s="54" t="str">
        <f ca="1">IFERROR(__xludf.DUMMYFUNCTION("""COMPUTED_VALUE"""),"")</f>
        <v/>
      </c>
      <c r="E757" s="55" t="str">
        <f ca="1">IFERROR(__xludf.DUMMYFUNCTION("""COMPUTED_VALUE"""),"")</f>
        <v/>
      </c>
      <c r="F757" s="54" t="str">
        <f ca="1">IFERROR(__xludf.DUMMYFUNCTION("""COMPUTED_VALUE"""),"")</f>
        <v/>
      </c>
      <c r="G757" s="38" t="str">
        <f ca="1">IFERROR(__xludf.DUMMYFUNCTION("""COMPUTED_VALUE"""),"")</f>
        <v/>
      </c>
      <c r="H757" s="38" t="str">
        <f ca="1">IFERROR(__xludf.DUMMYFUNCTION("""COMPUTED_VALUE"""),"")</f>
        <v/>
      </c>
    </row>
    <row r="758" spans="1:8" ht="12.75">
      <c r="A758" s="36" t="str">
        <f ca="1">IFERROR(__xludf.DUMMYFUNCTION("""COMPUTED_VALUE"""),"")</f>
        <v/>
      </c>
      <c r="B758" s="38"/>
      <c r="C758" s="54" t="str">
        <f ca="1">IFERROR(__xludf.DUMMYFUNCTION("""COMPUTED_VALUE"""),"")</f>
        <v/>
      </c>
      <c r="D758" s="54" t="str">
        <f ca="1">IFERROR(__xludf.DUMMYFUNCTION("""COMPUTED_VALUE"""),"")</f>
        <v/>
      </c>
      <c r="E758" s="55" t="str">
        <f ca="1">IFERROR(__xludf.DUMMYFUNCTION("""COMPUTED_VALUE"""),"")</f>
        <v/>
      </c>
      <c r="F758" s="54" t="str">
        <f ca="1">IFERROR(__xludf.DUMMYFUNCTION("""COMPUTED_VALUE"""),"")</f>
        <v/>
      </c>
      <c r="G758" s="38" t="str">
        <f ca="1">IFERROR(__xludf.DUMMYFUNCTION("""COMPUTED_VALUE"""),"")</f>
        <v/>
      </c>
      <c r="H758" s="38" t="str">
        <f ca="1">IFERROR(__xludf.DUMMYFUNCTION("""COMPUTED_VALUE"""),"")</f>
        <v/>
      </c>
    </row>
    <row r="759" spans="1:8" ht="12.75">
      <c r="A759" s="36" t="str">
        <f ca="1">IFERROR(__xludf.DUMMYFUNCTION("""COMPUTED_VALUE"""),"")</f>
        <v/>
      </c>
      <c r="B759" s="38"/>
      <c r="C759" s="54" t="str">
        <f ca="1">IFERROR(__xludf.DUMMYFUNCTION("""COMPUTED_VALUE"""),"")</f>
        <v/>
      </c>
      <c r="D759" s="54" t="str">
        <f ca="1">IFERROR(__xludf.DUMMYFUNCTION("""COMPUTED_VALUE"""),"")</f>
        <v/>
      </c>
      <c r="E759" s="55" t="str">
        <f ca="1">IFERROR(__xludf.DUMMYFUNCTION("""COMPUTED_VALUE"""),"")</f>
        <v/>
      </c>
      <c r="F759" s="54" t="str">
        <f ca="1">IFERROR(__xludf.DUMMYFUNCTION("""COMPUTED_VALUE"""),"")</f>
        <v/>
      </c>
      <c r="G759" s="38" t="str">
        <f ca="1">IFERROR(__xludf.DUMMYFUNCTION("""COMPUTED_VALUE"""),"")</f>
        <v/>
      </c>
      <c r="H759" s="38" t="str">
        <f ca="1">IFERROR(__xludf.DUMMYFUNCTION("""COMPUTED_VALUE"""),"")</f>
        <v/>
      </c>
    </row>
    <row r="760" spans="1:8" ht="12.75">
      <c r="A760" s="36" t="str">
        <f ca="1">IFERROR(__xludf.DUMMYFUNCTION("""COMPUTED_VALUE"""),"")</f>
        <v/>
      </c>
      <c r="B760" s="38"/>
      <c r="C760" s="54" t="str">
        <f ca="1">IFERROR(__xludf.DUMMYFUNCTION("""COMPUTED_VALUE"""),"")</f>
        <v/>
      </c>
      <c r="D760" s="54" t="str">
        <f ca="1">IFERROR(__xludf.DUMMYFUNCTION("""COMPUTED_VALUE"""),"")</f>
        <v/>
      </c>
      <c r="E760" s="55" t="str">
        <f ca="1">IFERROR(__xludf.DUMMYFUNCTION("""COMPUTED_VALUE"""),"")</f>
        <v/>
      </c>
      <c r="F760" s="54" t="str">
        <f ca="1">IFERROR(__xludf.DUMMYFUNCTION("""COMPUTED_VALUE"""),"")</f>
        <v/>
      </c>
      <c r="G760" s="38" t="str">
        <f ca="1">IFERROR(__xludf.DUMMYFUNCTION("""COMPUTED_VALUE"""),"")</f>
        <v/>
      </c>
      <c r="H760" s="38" t="str">
        <f ca="1">IFERROR(__xludf.DUMMYFUNCTION("""COMPUTED_VALUE"""),"")</f>
        <v/>
      </c>
    </row>
    <row r="761" spans="1:8" ht="12.75">
      <c r="A761" s="36" t="str">
        <f ca="1">IFERROR(__xludf.DUMMYFUNCTION("""COMPUTED_VALUE"""),"")</f>
        <v/>
      </c>
      <c r="B761" s="38"/>
      <c r="C761" s="54" t="str">
        <f ca="1">IFERROR(__xludf.DUMMYFUNCTION("""COMPUTED_VALUE"""),"")</f>
        <v/>
      </c>
      <c r="D761" s="54" t="str">
        <f ca="1">IFERROR(__xludf.DUMMYFUNCTION("""COMPUTED_VALUE"""),"")</f>
        <v/>
      </c>
      <c r="E761" s="55" t="str">
        <f ca="1">IFERROR(__xludf.DUMMYFUNCTION("""COMPUTED_VALUE"""),"")</f>
        <v/>
      </c>
      <c r="F761" s="54" t="str">
        <f ca="1">IFERROR(__xludf.DUMMYFUNCTION("""COMPUTED_VALUE"""),"")</f>
        <v/>
      </c>
      <c r="G761" s="38" t="str">
        <f ca="1">IFERROR(__xludf.DUMMYFUNCTION("""COMPUTED_VALUE"""),"")</f>
        <v/>
      </c>
      <c r="H761" s="38" t="str">
        <f ca="1">IFERROR(__xludf.DUMMYFUNCTION("""COMPUTED_VALUE"""),"")</f>
        <v/>
      </c>
    </row>
    <row r="762" spans="1:8" ht="12.75">
      <c r="A762" s="36" t="str">
        <f ca="1">IFERROR(__xludf.DUMMYFUNCTION("""COMPUTED_VALUE"""),"")</f>
        <v/>
      </c>
      <c r="B762" s="38"/>
      <c r="C762" s="54" t="str">
        <f ca="1">IFERROR(__xludf.DUMMYFUNCTION("""COMPUTED_VALUE"""),"")</f>
        <v/>
      </c>
      <c r="D762" s="54" t="str">
        <f ca="1">IFERROR(__xludf.DUMMYFUNCTION("""COMPUTED_VALUE"""),"")</f>
        <v/>
      </c>
      <c r="E762" s="55" t="str">
        <f ca="1">IFERROR(__xludf.DUMMYFUNCTION("""COMPUTED_VALUE"""),"")</f>
        <v/>
      </c>
      <c r="F762" s="54" t="str">
        <f ca="1">IFERROR(__xludf.DUMMYFUNCTION("""COMPUTED_VALUE"""),"")</f>
        <v/>
      </c>
      <c r="G762" s="38" t="str">
        <f ca="1">IFERROR(__xludf.DUMMYFUNCTION("""COMPUTED_VALUE"""),"")</f>
        <v/>
      </c>
      <c r="H762" s="38" t="str">
        <f ca="1">IFERROR(__xludf.DUMMYFUNCTION("""COMPUTED_VALUE"""),"")</f>
        <v/>
      </c>
    </row>
    <row r="763" spans="1:8" ht="12.75">
      <c r="A763" s="36" t="str">
        <f ca="1">IFERROR(__xludf.DUMMYFUNCTION("""COMPUTED_VALUE"""),"")</f>
        <v/>
      </c>
      <c r="B763" s="38"/>
      <c r="C763" s="54" t="str">
        <f ca="1">IFERROR(__xludf.DUMMYFUNCTION("""COMPUTED_VALUE"""),"")</f>
        <v/>
      </c>
      <c r="D763" s="54" t="str">
        <f ca="1">IFERROR(__xludf.DUMMYFUNCTION("""COMPUTED_VALUE"""),"")</f>
        <v/>
      </c>
      <c r="E763" s="55" t="str">
        <f ca="1">IFERROR(__xludf.DUMMYFUNCTION("""COMPUTED_VALUE"""),"")</f>
        <v/>
      </c>
      <c r="F763" s="54" t="str">
        <f ca="1">IFERROR(__xludf.DUMMYFUNCTION("""COMPUTED_VALUE"""),"")</f>
        <v/>
      </c>
      <c r="G763" s="38" t="str">
        <f ca="1">IFERROR(__xludf.DUMMYFUNCTION("""COMPUTED_VALUE"""),"")</f>
        <v/>
      </c>
      <c r="H763" s="38" t="str">
        <f ca="1">IFERROR(__xludf.DUMMYFUNCTION("""COMPUTED_VALUE"""),"")</f>
        <v/>
      </c>
    </row>
    <row r="764" spans="1:8" ht="12.75">
      <c r="A764" s="36" t="str">
        <f ca="1">IFERROR(__xludf.DUMMYFUNCTION("""COMPUTED_VALUE"""),"")</f>
        <v/>
      </c>
      <c r="B764" s="38"/>
      <c r="C764" s="54" t="str">
        <f ca="1">IFERROR(__xludf.DUMMYFUNCTION("""COMPUTED_VALUE"""),"")</f>
        <v/>
      </c>
      <c r="D764" s="54" t="str">
        <f ca="1">IFERROR(__xludf.DUMMYFUNCTION("""COMPUTED_VALUE"""),"")</f>
        <v/>
      </c>
      <c r="E764" s="55" t="str">
        <f ca="1">IFERROR(__xludf.DUMMYFUNCTION("""COMPUTED_VALUE"""),"")</f>
        <v/>
      </c>
      <c r="F764" s="54" t="str">
        <f ca="1">IFERROR(__xludf.DUMMYFUNCTION("""COMPUTED_VALUE"""),"")</f>
        <v/>
      </c>
      <c r="G764" s="38" t="str">
        <f ca="1">IFERROR(__xludf.DUMMYFUNCTION("""COMPUTED_VALUE"""),"")</f>
        <v/>
      </c>
      <c r="H764" s="38" t="str">
        <f ca="1">IFERROR(__xludf.DUMMYFUNCTION("""COMPUTED_VALUE"""),"")</f>
        <v/>
      </c>
    </row>
    <row r="765" spans="1:8" ht="12.75">
      <c r="A765" s="36" t="str">
        <f ca="1">IFERROR(__xludf.DUMMYFUNCTION("""COMPUTED_VALUE"""),"")</f>
        <v/>
      </c>
      <c r="B765" s="38"/>
      <c r="C765" s="54" t="str">
        <f ca="1">IFERROR(__xludf.DUMMYFUNCTION("""COMPUTED_VALUE"""),"")</f>
        <v/>
      </c>
      <c r="D765" s="54" t="str">
        <f ca="1">IFERROR(__xludf.DUMMYFUNCTION("""COMPUTED_VALUE"""),"")</f>
        <v/>
      </c>
      <c r="E765" s="55" t="str">
        <f ca="1">IFERROR(__xludf.DUMMYFUNCTION("""COMPUTED_VALUE"""),"")</f>
        <v/>
      </c>
      <c r="F765" s="54" t="str">
        <f ca="1">IFERROR(__xludf.DUMMYFUNCTION("""COMPUTED_VALUE"""),"")</f>
        <v/>
      </c>
      <c r="G765" s="38" t="str">
        <f ca="1">IFERROR(__xludf.DUMMYFUNCTION("""COMPUTED_VALUE"""),"")</f>
        <v/>
      </c>
      <c r="H765" s="38" t="str">
        <f ca="1">IFERROR(__xludf.DUMMYFUNCTION("""COMPUTED_VALUE"""),"")</f>
        <v/>
      </c>
    </row>
    <row r="766" spans="1:8" ht="12.75">
      <c r="A766" s="36" t="str">
        <f ca="1">IFERROR(__xludf.DUMMYFUNCTION("""COMPUTED_VALUE"""),"")</f>
        <v/>
      </c>
      <c r="B766" s="38"/>
      <c r="C766" s="54" t="str">
        <f ca="1">IFERROR(__xludf.DUMMYFUNCTION("""COMPUTED_VALUE"""),"")</f>
        <v/>
      </c>
      <c r="D766" s="54" t="str">
        <f ca="1">IFERROR(__xludf.DUMMYFUNCTION("""COMPUTED_VALUE"""),"")</f>
        <v/>
      </c>
      <c r="E766" s="55" t="str">
        <f ca="1">IFERROR(__xludf.DUMMYFUNCTION("""COMPUTED_VALUE"""),"")</f>
        <v/>
      </c>
      <c r="F766" s="54" t="str">
        <f ca="1">IFERROR(__xludf.DUMMYFUNCTION("""COMPUTED_VALUE"""),"")</f>
        <v/>
      </c>
      <c r="G766" s="38" t="str">
        <f ca="1">IFERROR(__xludf.DUMMYFUNCTION("""COMPUTED_VALUE"""),"")</f>
        <v/>
      </c>
      <c r="H766" s="38" t="str">
        <f ca="1">IFERROR(__xludf.DUMMYFUNCTION("""COMPUTED_VALUE"""),"")</f>
        <v/>
      </c>
    </row>
    <row r="767" spans="1:8" ht="12.75">
      <c r="A767" s="36" t="str">
        <f ca="1">IFERROR(__xludf.DUMMYFUNCTION("""COMPUTED_VALUE"""),"")</f>
        <v/>
      </c>
      <c r="B767" s="38"/>
      <c r="C767" s="54" t="str">
        <f ca="1">IFERROR(__xludf.DUMMYFUNCTION("""COMPUTED_VALUE"""),"")</f>
        <v/>
      </c>
      <c r="D767" s="54" t="str">
        <f ca="1">IFERROR(__xludf.DUMMYFUNCTION("""COMPUTED_VALUE"""),"")</f>
        <v/>
      </c>
      <c r="E767" s="55" t="str">
        <f ca="1">IFERROR(__xludf.DUMMYFUNCTION("""COMPUTED_VALUE"""),"")</f>
        <v/>
      </c>
      <c r="F767" s="54" t="str">
        <f ca="1">IFERROR(__xludf.DUMMYFUNCTION("""COMPUTED_VALUE"""),"")</f>
        <v/>
      </c>
      <c r="G767" s="38" t="str">
        <f ca="1">IFERROR(__xludf.DUMMYFUNCTION("""COMPUTED_VALUE"""),"")</f>
        <v/>
      </c>
      <c r="H767" s="38" t="str">
        <f ca="1">IFERROR(__xludf.DUMMYFUNCTION("""COMPUTED_VALUE"""),"")</f>
        <v/>
      </c>
    </row>
    <row r="768" spans="1:8" ht="12.75">
      <c r="A768" s="36" t="str">
        <f ca="1">IFERROR(__xludf.DUMMYFUNCTION("""COMPUTED_VALUE"""),"")</f>
        <v/>
      </c>
      <c r="B768" s="38"/>
      <c r="C768" s="54" t="str">
        <f ca="1">IFERROR(__xludf.DUMMYFUNCTION("""COMPUTED_VALUE"""),"")</f>
        <v/>
      </c>
      <c r="D768" s="54" t="str">
        <f ca="1">IFERROR(__xludf.DUMMYFUNCTION("""COMPUTED_VALUE"""),"")</f>
        <v/>
      </c>
      <c r="E768" s="55" t="str">
        <f ca="1">IFERROR(__xludf.DUMMYFUNCTION("""COMPUTED_VALUE"""),"")</f>
        <v/>
      </c>
      <c r="F768" s="54" t="str">
        <f ca="1">IFERROR(__xludf.DUMMYFUNCTION("""COMPUTED_VALUE"""),"")</f>
        <v/>
      </c>
      <c r="G768" s="38" t="str">
        <f ca="1">IFERROR(__xludf.DUMMYFUNCTION("""COMPUTED_VALUE"""),"")</f>
        <v/>
      </c>
      <c r="H768" s="38" t="str">
        <f ca="1">IFERROR(__xludf.DUMMYFUNCTION("""COMPUTED_VALUE"""),"")</f>
        <v/>
      </c>
    </row>
    <row r="769" spans="1:8" ht="12.75">
      <c r="A769" s="36" t="str">
        <f ca="1">IFERROR(__xludf.DUMMYFUNCTION("""COMPUTED_VALUE"""),"")</f>
        <v/>
      </c>
      <c r="B769" s="38"/>
      <c r="C769" s="54" t="str">
        <f ca="1">IFERROR(__xludf.DUMMYFUNCTION("""COMPUTED_VALUE"""),"")</f>
        <v/>
      </c>
      <c r="D769" s="54" t="str">
        <f ca="1">IFERROR(__xludf.DUMMYFUNCTION("""COMPUTED_VALUE"""),"")</f>
        <v/>
      </c>
      <c r="E769" s="55" t="str">
        <f ca="1">IFERROR(__xludf.DUMMYFUNCTION("""COMPUTED_VALUE"""),"")</f>
        <v/>
      </c>
      <c r="F769" s="54" t="str">
        <f ca="1">IFERROR(__xludf.DUMMYFUNCTION("""COMPUTED_VALUE"""),"")</f>
        <v/>
      </c>
      <c r="G769" s="38" t="str">
        <f ca="1">IFERROR(__xludf.DUMMYFUNCTION("""COMPUTED_VALUE"""),"")</f>
        <v/>
      </c>
      <c r="H769" s="38" t="str">
        <f ca="1">IFERROR(__xludf.DUMMYFUNCTION("""COMPUTED_VALUE"""),"")</f>
        <v/>
      </c>
    </row>
    <row r="770" spans="1:8" ht="12.75">
      <c r="A770" s="36" t="str">
        <f ca="1">IFERROR(__xludf.DUMMYFUNCTION("""COMPUTED_VALUE"""),"")</f>
        <v/>
      </c>
      <c r="B770" s="38"/>
      <c r="C770" s="54" t="str">
        <f ca="1">IFERROR(__xludf.DUMMYFUNCTION("""COMPUTED_VALUE"""),"")</f>
        <v/>
      </c>
      <c r="D770" s="54" t="str">
        <f ca="1">IFERROR(__xludf.DUMMYFUNCTION("""COMPUTED_VALUE"""),"")</f>
        <v/>
      </c>
      <c r="E770" s="55" t="str">
        <f ca="1">IFERROR(__xludf.DUMMYFUNCTION("""COMPUTED_VALUE"""),"")</f>
        <v/>
      </c>
      <c r="F770" s="54" t="str">
        <f ca="1">IFERROR(__xludf.DUMMYFUNCTION("""COMPUTED_VALUE"""),"")</f>
        <v/>
      </c>
      <c r="G770" s="38" t="str">
        <f ca="1">IFERROR(__xludf.DUMMYFUNCTION("""COMPUTED_VALUE"""),"")</f>
        <v/>
      </c>
      <c r="H770" s="38" t="str">
        <f ca="1">IFERROR(__xludf.DUMMYFUNCTION("""COMPUTED_VALUE"""),"")</f>
        <v/>
      </c>
    </row>
    <row r="771" spans="1:8" ht="12.75">
      <c r="A771" s="36" t="str">
        <f ca="1">IFERROR(__xludf.DUMMYFUNCTION("""COMPUTED_VALUE"""),"")</f>
        <v/>
      </c>
      <c r="B771" s="38"/>
      <c r="C771" s="54" t="str">
        <f ca="1">IFERROR(__xludf.DUMMYFUNCTION("""COMPUTED_VALUE"""),"")</f>
        <v/>
      </c>
      <c r="D771" s="54" t="str">
        <f ca="1">IFERROR(__xludf.DUMMYFUNCTION("""COMPUTED_VALUE"""),"")</f>
        <v/>
      </c>
      <c r="E771" s="55" t="str">
        <f ca="1">IFERROR(__xludf.DUMMYFUNCTION("""COMPUTED_VALUE"""),"")</f>
        <v/>
      </c>
      <c r="F771" s="54" t="str">
        <f ca="1">IFERROR(__xludf.DUMMYFUNCTION("""COMPUTED_VALUE"""),"")</f>
        <v/>
      </c>
      <c r="G771" s="38" t="str">
        <f ca="1">IFERROR(__xludf.DUMMYFUNCTION("""COMPUTED_VALUE"""),"")</f>
        <v/>
      </c>
      <c r="H771" s="38" t="str">
        <f ca="1">IFERROR(__xludf.DUMMYFUNCTION("""COMPUTED_VALUE"""),"")</f>
        <v/>
      </c>
    </row>
    <row r="772" spans="1:8" ht="12.75">
      <c r="A772" s="36" t="str">
        <f ca="1">IFERROR(__xludf.DUMMYFUNCTION("""COMPUTED_VALUE"""),"")</f>
        <v/>
      </c>
      <c r="B772" s="38"/>
      <c r="C772" s="54" t="str">
        <f ca="1">IFERROR(__xludf.DUMMYFUNCTION("""COMPUTED_VALUE"""),"")</f>
        <v/>
      </c>
      <c r="D772" s="54" t="str">
        <f ca="1">IFERROR(__xludf.DUMMYFUNCTION("""COMPUTED_VALUE"""),"")</f>
        <v/>
      </c>
      <c r="E772" s="55" t="str">
        <f ca="1">IFERROR(__xludf.DUMMYFUNCTION("""COMPUTED_VALUE"""),"")</f>
        <v/>
      </c>
      <c r="F772" s="54" t="str">
        <f ca="1">IFERROR(__xludf.DUMMYFUNCTION("""COMPUTED_VALUE"""),"")</f>
        <v/>
      </c>
      <c r="G772" s="38" t="str">
        <f ca="1">IFERROR(__xludf.DUMMYFUNCTION("""COMPUTED_VALUE"""),"")</f>
        <v/>
      </c>
      <c r="H772" s="38" t="str">
        <f ca="1">IFERROR(__xludf.DUMMYFUNCTION("""COMPUTED_VALUE"""),"")</f>
        <v/>
      </c>
    </row>
    <row r="773" spans="1:8" ht="12.75">
      <c r="A773" s="36" t="str">
        <f ca="1">IFERROR(__xludf.DUMMYFUNCTION("""COMPUTED_VALUE"""),"")</f>
        <v/>
      </c>
      <c r="B773" s="38"/>
      <c r="C773" s="54" t="str">
        <f ca="1">IFERROR(__xludf.DUMMYFUNCTION("""COMPUTED_VALUE"""),"")</f>
        <v/>
      </c>
      <c r="D773" s="54" t="str">
        <f ca="1">IFERROR(__xludf.DUMMYFUNCTION("""COMPUTED_VALUE"""),"")</f>
        <v/>
      </c>
      <c r="E773" s="55" t="str">
        <f ca="1">IFERROR(__xludf.DUMMYFUNCTION("""COMPUTED_VALUE"""),"")</f>
        <v/>
      </c>
      <c r="F773" s="54" t="str">
        <f ca="1">IFERROR(__xludf.DUMMYFUNCTION("""COMPUTED_VALUE"""),"")</f>
        <v/>
      </c>
      <c r="G773" s="38" t="str">
        <f ca="1">IFERROR(__xludf.DUMMYFUNCTION("""COMPUTED_VALUE"""),"")</f>
        <v/>
      </c>
      <c r="H773" s="38" t="str">
        <f ca="1">IFERROR(__xludf.DUMMYFUNCTION("""COMPUTED_VALUE"""),"")</f>
        <v/>
      </c>
    </row>
    <row r="774" spans="1:8" ht="12.75">
      <c r="A774" s="36" t="str">
        <f ca="1">IFERROR(__xludf.DUMMYFUNCTION("""COMPUTED_VALUE"""),"")</f>
        <v/>
      </c>
      <c r="B774" s="38"/>
      <c r="C774" s="54" t="str">
        <f ca="1">IFERROR(__xludf.DUMMYFUNCTION("""COMPUTED_VALUE"""),"")</f>
        <v/>
      </c>
      <c r="D774" s="54" t="str">
        <f ca="1">IFERROR(__xludf.DUMMYFUNCTION("""COMPUTED_VALUE"""),"")</f>
        <v/>
      </c>
      <c r="E774" s="55" t="str">
        <f ca="1">IFERROR(__xludf.DUMMYFUNCTION("""COMPUTED_VALUE"""),"")</f>
        <v/>
      </c>
      <c r="F774" s="54" t="str">
        <f ca="1">IFERROR(__xludf.DUMMYFUNCTION("""COMPUTED_VALUE"""),"")</f>
        <v/>
      </c>
      <c r="G774" s="38" t="str">
        <f ca="1">IFERROR(__xludf.DUMMYFUNCTION("""COMPUTED_VALUE"""),"")</f>
        <v/>
      </c>
      <c r="H774" s="38" t="str">
        <f ca="1">IFERROR(__xludf.DUMMYFUNCTION("""COMPUTED_VALUE"""),"")</f>
        <v/>
      </c>
    </row>
    <row r="775" spans="1:8" ht="12.75">
      <c r="A775" s="36" t="str">
        <f ca="1">IFERROR(__xludf.DUMMYFUNCTION("""COMPUTED_VALUE"""),"")</f>
        <v/>
      </c>
      <c r="B775" s="38"/>
      <c r="C775" s="54" t="str">
        <f ca="1">IFERROR(__xludf.DUMMYFUNCTION("""COMPUTED_VALUE"""),"")</f>
        <v/>
      </c>
      <c r="D775" s="54" t="str">
        <f ca="1">IFERROR(__xludf.DUMMYFUNCTION("""COMPUTED_VALUE"""),"")</f>
        <v/>
      </c>
      <c r="E775" s="55" t="str">
        <f ca="1">IFERROR(__xludf.DUMMYFUNCTION("""COMPUTED_VALUE"""),"")</f>
        <v/>
      </c>
      <c r="F775" s="54" t="str">
        <f ca="1">IFERROR(__xludf.DUMMYFUNCTION("""COMPUTED_VALUE"""),"")</f>
        <v/>
      </c>
      <c r="G775" s="38" t="str">
        <f ca="1">IFERROR(__xludf.DUMMYFUNCTION("""COMPUTED_VALUE"""),"")</f>
        <v/>
      </c>
      <c r="H775" s="38" t="str">
        <f ca="1">IFERROR(__xludf.DUMMYFUNCTION("""COMPUTED_VALUE"""),"")</f>
        <v/>
      </c>
    </row>
    <row r="776" spans="1:8" ht="12.75">
      <c r="A776" s="36" t="str">
        <f ca="1">IFERROR(__xludf.DUMMYFUNCTION("""COMPUTED_VALUE"""),"")</f>
        <v/>
      </c>
      <c r="B776" s="38"/>
      <c r="C776" s="54" t="str">
        <f ca="1">IFERROR(__xludf.DUMMYFUNCTION("""COMPUTED_VALUE"""),"")</f>
        <v/>
      </c>
      <c r="D776" s="54" t="str">
        <f ca="1">IFERROR(__xludf.DUMMYFUNCTION("""COMPUTED_VALUE"""),"")</f>
        <v/>
      </c>
      <c r="E776" s="55" t="str">
        <f ca="1">IFERROR(__xludf.DUMMYFUNCTION("""COMPUTED_VALUE"""),"")</f>
        <v/>
      </c>
      <c r="F776" s="54" t="str">
        <f ca="1">IFERROR(__xludf.DUMMYFUNCTION("""COMPUTED_VALUE"""),"")</f>
        <v/>
      </c>
      <c r="G776" s="38" t="str">
        <f ca="1">IFERROR(__xludf.DUMMYFUNCTION("""COMPUTED_VALUE"""),"")</f>
        <v/>
      </c>
      <c r="H776" s="38" t="str">
        <f ca="1">IFERROR(__xludf.DUMMYFUNCTION("""COMPUTED_VALUE"""),"")</f>
        <v/>
      </c>
    </row>
    <row r="777" spans="1:8" ht="12.75">
      <c r="A777" s="36" t="str">
        <f ca="1">IFERROR(__xludf.DUMMYFUNCTION("""COMPUTED_VALUE"""),"")</f>
        <v/>
      </c>
      <c r="B777" s="38"/>
      <c r="C777" s="54" t="str">
        <f ca="1">IFERROR(__xludf.DUMMYFUNCTION("""COMPUTED_VALUE"""),"")</f>
        <v/>
      </c>
      <c r="D777" s="54" t="str">
        <f ca="1">IFERROR(__xludf.DUMMYFUNCTION("""COMPUTED_VALUE"""),"")</f>
        <v/>
      </c>
      <c r="E777" s="55" t="str">
        <f ca="1">IFERROR(__xludf.DUMMYFUNCTION("""COMPUTED_VALUE"""),"")</f>
        <v/>
      </c>
      <c r="F777" s="54" t="str">
        <f ca="1">IFERROR(__xludf.DUMMYFUNCTION("""COMPUTED_VALUE"""),"")</f>
        <v/>
      </c>
      <c r="G777" s="38" t="str">
        <f ca="1">IFERROR(__xludf.DUMMYFUNCTION("""COMPUTED_VALUE"""),"")</f>
        <v/>
      </c>
      <c r="H777" s="38" t="str">
        <f ca="1">IFERROR(__xludf.DUMMYFUNCTION("""COMPUTED_VALUE"""),"")</f>
        <v/>
      </c>
    </row>
    <row r="778" spans="1:8" ht="12.75">
      <c r="A778" s="36" t="str">
        <f ca="1">IFERROR(__xludf.DUMMYFUNCTION("""COMPUTED_VALUE"""),"")</f>
        <v/>
      </c>
      <c r="B778" s="38"/>
      <c r="C778" s="54" t="str">
        <f ca="1">IFERROR(__xludf.DUMMYFUNCTION("""COMPUTED_VALUE"""),"")</f>
        <v/>
      </c>
      <c r="D778" s="54" t="str">
        <f ca="1">IFERROR(__xludf.DUMMYFUNCTION("""COMPUTED_VALUE"""),"")</f>
        <v/>
      </c>
      <c r="E778" s="55" t="str">
        <f ca="1">IFERROR(__xludf.DUMMYFUNCTION("""COMPUTED_VALUE"""),"")</f>
        <v/>
      </c>
      <c r="F778" s="54" t="str">
        <f ca="1">IFERROR(__xludf.DUMMYFUNCTION("""COMPUTED_VALUE"""),"")</f>
        <v/>
      </c>
      <c r="G778" s="38" t="str">
        <f ca="1">IFERROR(__xludf.DUMMYFUNCTION("""COMPUTED_VALUE"""),"")</f>
        <v/>
      </c>
      <c r="H778" s="38" t="str">
        <f ca="1">IFERROR(__xludf.DUMMYFUNCTION("""COMPUTED_VALUE"""),"")</f>
        <v/>
      </c>
    </row>
    <row r="779" spans="1:8" ht="12.75">
      <c r="A779" s="36" t="str">
        <f ca="1">IFERROR(__xludf.DUMMYFUNCTION("""COMPUTED_VALUE"""),"")</f>
        <v/>
      </c>
      <c r="B779" s="38"/>
      <c r="C779" s="54" t="str">
        <f ca="1">IFERROR(__xludf.DUMMYFUNCTION("""COMPUTED_VALUE"""),"")</f>
        <v/>
      </c>
      <c r="D779" s="54" t="str">
        <f ca="1">IFERROR(__xludf.DUMMYFUNCTION("""COMPUTED_VALUE"""),"")</f>
        <v/>
      </c>
      <c r="E779" s="55" t="str">
        <f ca="1">IFERROR(__xludf.DUMMYFUNCTION("""COMPUTED_VALUE"""),"")</f>
        <v/>
      </c>
      <c r="F779" s="54" t="str">
        <f ca="1">IFERROR(__xludf.DUMMYFUNCTION("""COMPUTED_VALUE"""),"")</f>
        <v/>
      </c>
      <c r="G779" s="38" t="str">
        <f ca="1">IFERROR(__xludf.DUMMYFUNCTION("""COMPUTED_VALUE"""),"")</f>
        <v/>
      </c>
      <c r="H779" s="38" t="str">
        <f ca="1">IFERROR(__xludf.DUMMYFUNCTION("""COMPUTED_VALUE"""),"")</f>
        <v/>
      </c>
    </row>
    <row r="780" spans="1:8" ht="12.75">
      <c r="A780" s="36" t="str">
        <f ca="1">IFERROR(__xludf.DUMMYFUNCTION("""COMPUTED_VALUE"""),"")</f>
        <v/>
      </c>
      <c r="B780" s="38"/>
      <c r="C780" s="54" t="str">
        <f ca="1">IFERROR(__xludf.DUMMYFUNCTION("""COMPUTED_VALUE"""),"")</f>
        <v/>
      </c>
      <c r="D780" s="54" t="str">
        <f ca="1">IFERROR(__xludf.DUMMYFUNCTION("""COMPUTED_VALUE"""),"")</f>
        <v/>
      </c>
      <c r="E780" s="55" t="str">
        <f ca="1">IFERROR(__xludf.DUMMYFUNCTION("""COMPUTED_VALUE"""),"")</f>
        <v/>
      </c>
      <c r="F780" s="54" t="str">
        <f ca="1">IFERROR(__xludf.DUMMYFUNCTION("""COMPUTED_VALUE"""),"")</f>
        <v/>
      </c>
      <c r="G780" s="38" t="str">
        <f ca="1">IFERROR(__xludf.DUMMYFUNCTION("""COMPUTED_VALUE"""),"")</f>
        <v/>
      </c>
      <c r="H780" s="38" t="str">
        <f ca="1">IFERROR(__xludf.DUMMYFUNCTION("""COMPUTED_VALUE"""),"")</f>
        <v/>
      </c>
    </row>
    <row r="781" spans="1:8" ht="12.75">
      <c r="A781" s="36" t="str">
        <f ca="1">IFERROR(__xludf.DUMMYFUNCTION("""COMPUTED_VALUE"""),"")</f>
        <v/>
      </c>
      <c r="B781" s="38"/>
      <c r="C781" s="54" t="str">
        <f ca="1">IFERROR(__xludf.DUMMYFUNCTION("""COMPUTED_VALUE"""),"")</f>
        <v/>
      </c>
      <c r="D781" s="54" t="str">
        <f ca="1">IFERROR(__xludf.DUMMYFUNCTION("""COMPUTED_VALUE"""),"")</f>
        <v/>
      </c>
      <c r="E781" s="55" t="str">
        <f ca="1">IFERROR(__xludf.DUMMYFUNCTION("""COMPUTED_VALUE"""),"")</f>
        <v/>
      </c>
      <c r="F781" s="54" t="str">
        <f ca="1">IFERROR(__xludf.DUMMYFUNCTION("""COMPUTED_VALUE"""),"")</f>
        <v/>
      </c>
      <c r="G781" s="38" t="str">
        <f ca="1">IFERROR(__xludf.DUMMYFUNCTION("""COMPUTED_VALUE"""),"")</f>
        <v/>
      </c>
      <c r="H781" s="38" t="str">
        <f ca="1">IFERROR(__xludf.DUMMYFUNCTION("""COMPUTED_VALUE"""),"")</f>
        <v/>
      </c>
    </row>
    <row r="782" spans="1:8" ht="12.75">
      <c r="A782" s="36" t="str">
        <f ca="1">IFERROR(__xludf.DUMMYFUNCTION("""COMPUTED_VALUE"""),"")</f>
        <v/>
      </c>
      <c r="B782" s="38"/>
      <c r="C782" s="54" t="str">
        <f ca="1">IFERROR(__xludf.DUMMYFUNCTION("""COMPUTED_VALUE"""),"")</f>
        <v/>
      </c>
      <c r="D782" s="54" t="str">
        <f ca="1">IFERROR(__xludf.DUMMYFUNCTION("""COMPUTED_VALUE"""),"")</f>
        <v/>
      </c>
      <c r="E782" s="55" t="str">
        <f ca="1">IFERROR(__xludf.DUMMYFUNCTION("""COMPUTED_VALUE"""),"")</f>
        <v/>
      </c>
      <c r="F782" s="54" t="str">
        <f ca="1">IFERROR(__xludf.DUMMYFUNCTION("""COMPUTED_VALUE"""),"")</f>
        <v/>
      </c>
      <c r="G782" s="38" t="str">
        <f ca="1">IFERROR(__xludf.DUMMYFUNCTION("""COMPUTED_VALUE"""),"")</f>
        <v/>
      </c>
      <c r="H782" s="38" t="str">
        <f ca="1">IFERROR(__xludf.DUMMYFUNCTION("""COMPUTED_VALUE"""),"")</f>
        <v/>
      </c>
    </row>
    <row r="783" spans="1:8" ht="12.75">
      <c r="A783" s="36" t="str">
        <f ca="1">IFERROR(__xludf.DUMMYFUNCTION("""COMPUTED_VALUE"""),"")</f>
        <v/>
      </c>
      <c r="B783" s="38"/>
      <c r="C783" s="54" t="str">
        <f ca="1">IFERROR(__xludf.DUMMYFUNCTION("""COMPUTED_VALUE"""),"")</f>
        <v/>
      </c>
      <c r="D783" s="54" t="str">
        <f ca="1">IFERROR(__xludf.DUMMYFUNCTION("""COMPUTED_VALUE"""),"")</f>
        <v/>
      </c>
      <c r="E783" s="55" t="str">
        <f ca="1">IFERROR(__xludf.DUMMYFUNCTION("""COMPUTED_VALUE"""),"")</f>
        <v/>
      </c>
      <c r="F783" s="54" t="str">
        <f ca="1">IFERROR(__xludf.DUMMYFUNCTION("""COMPUTED_VALUE"""),"")</f>
        <v/>
      </c>
      <c r="G783" s="38" t="str">
        <f ca="1">IFERROR(__xludf.DUMMYFUNCTION("""COMPUTED_VALUE"""),"")</f>
        <v/>
      </c>
      <c r="H783" s="38" t="str">
        <f ca="1">IFERROR(__xludf.DUMMYFUNCTION("""COMPUTED_VALUE"""),"")</f>
        <v/>
      </c>
    </row>
    <row r="784" spans="1:8" ht="12.75">
      <c r="A784" s="36" t="str">
        <f ca="1">IFERROR(__xludf.DUMMYFUNCTION("""COMPUTED_VALUE"""),"")</f>
        <v/>
      </c>
      <c r="B784" s="38"/>
      <c r="C784" s="54" t="str">
        <f ca="1">IFERROR(__xludf.DUMMYFUNCTION("""COMPUTED_VALUE"""),"")</f>
        <v/>
      </c>
      <c r="D784" s="54" t="str">
        <f ca="1">IFERROR(__xludf.DUMMYFUNCTION("""COMPUTED_VALUE"""),"")</f>
        <v/>
      </c>
      <c r="E784" s="55" t="str">
        <f ca="1">IFERROR(__xludf.DUMMYFUNCTION("""COMPUTED_VALUE"""),"")</f>
        <v/>
      </c>
      <c r="F784" s="54" t="str">
        <f ca="1">IFERROR(__xludf.DUMMYFUNCTION("""COMPUTED_VALUE"""),"")</f>
        <v/>
      </c>
      <c r="G784" s="38" t="str">
        <f ca="1">IFERROR(__xludf.DUMMYFUNCTION("""COMPUTED_VALUE"""),"")</f>
        <v/>
      </c>
      <c r="H784" s="38" t="str">
        <f ca="1">IFERROR(__xludf.DUMMYFUNCTION("""COMPUTED_VALUE"""),"")</f>
        <v/>
      </c>
    </row>
    <row r="785" spans="1:8" ht="12.75">
      <c r="A785" s="36" t="str">
        <f ca="1">IFERROR(__xludf.DUMMYFUNCTION("""COMPUTED_VALUE"""),"")</f>
        <v/>
      </c>
      <c r="B785" s="38"/>
      <c r="C785" s="54" t="str">
        <f ca="1">IFERROR(__xludf.DUMMYFUNCTION("""COMPUTED_VALUE"""),"")</f>
        <v/>
      </c>
      <c r="D785" s="54" t="str">
        <f ca="1">IFERROR(__xludf.DUMMYFUNCTION("""COMPUTED_VALUE"""),"")</f>
        <v/>
      </c>
      <c r="E785" s="55" t="str">
        <f ca="1">IFERROR(__xludf.DUMMYFUNCTION("""COMPUTED_VALUE"""),"")</f>
        <v/>
      </c>
      <c r="F785" s="54" t="str">
        <f ca="1">IFERROR(__xludf.DUMMYFUNCTION("""COMPUTED_VALUE"""),"")</f>
        <v/>
      </c>
      <c r="G785" s="38" t="str">
        <f ca="1">IFERROR(__xludf.DUMMYFUNCTION("""COMPUTED_VALUE"""),"")</f>
        <v/>
      </c>
      <c r="H785" s="38" t="str">
        <f ca="1">IFERROR(__xludf.DUMMYFUNCTION("""COMPUTED_VALUE"""),"")</f>
        <v/>
      </c>
    </row>
    <row r="786" spans="1:8" ht="12.75">
      <c r="A786" s="36" t="str">
        <f ca="1">IFERROR(__xludf.DUMMYFUNCTION("""COMPUTED_VALUE"""),"")</f>
        <v/>
      </c>
      <c r="B786" s="38"/>
      <c r="C786" s="54" t="str">
        <f ca="1">IFERROR(__xludf.DUMMYFUNCTION("""COMPUTED_VALUE"""),"")</f>
        <v/>
      </c>
      <c r="D786" s="54" t="str">
        <f ca="1">IFERROR(__xludf.DUMMYFUNCTION("""COMPUTED_VALUE"""),"")</f>
        <v/>
      </c>
      <c r="E786" s="55" t="str">
        <f ca="1">IFERROR(__xludf.DUMMYFUNCTION("""COMPUTED_VALUE"""),"")</f>
        <v/>
      </c>
      <c r="F786" s="54" t="str">
        <f ca="1">IFERROR(__xludf.DUMMYFUNCTION("""COMPUTED_VALUE"""),"")</f>
        <v/>
      </c>
      <c r="G786" s="38" t="str">
        <f ca="1">IFERROR(__xludf.DUMMYFUNCTION("""COMPUTED_VALUE"""),"")</f>
        <v/>
      </c>
      <c r="H786" s="38" t="str">
        <f ca="1">IFERROR(__xludf.DUMMYFUNCTION("""COMPUTED_VALUE"""),"")</f>
        <v/>
      </c>
    </row>
    <row r="787" spans="1:8" ht="12.75">
      <c r="A787" s="36" t="str">
        <f ca="1">IFERROR(__xludf.DUMMYFUNCTION("""COMPUTED_VALUE"""),"")</f>
        <v/>
      </c>
      <c r="B787" s="38"/>
      <c r="C787" s="54" t="str">
        <f ca="1">IFERROR(__xludf.DUMMYFUNCTION("""COMPUTED_VALUE"""),"")</f>
        <v/>
      </c>
      <c r="D787" s="54" t="str">
        <f ca="1">IFERROR(__xludf.DUMMYFUNCTION("""COMPUTED_VALUE"""),"")</f>
        <v/>
      </c>
      <c r="E787" s="55" t="str">
        <f ca="1">IFERROR(__xludf.DUMMYFUNCTION("""COMPUTED_VALUE"""),"")</f>
        <v/>
      </c>
      <c r="F787" s="54" t="str">
        <f ca="1">IFERROR(__xludf.DUMMYFUNCTION("""COMPUTED_VALUE"""),"")</f>
        <v/>
      </c>
      <c r="G787" s="38" t="str">
        <f ca="1">IFERROR(__xludf.DUMMYFUNCTION("""COMPUTED_VALUE"""),"")</f>
        <v/>
      </c>
      <c r="H787" s="38" t="str">
        <f ca="1">IFERROR(__xludf.DUMMYFUNCTION("""COMPUTED_VALUE"""),"")</f>
        <v/>
      </c>
    </row>
    <row r="788" spans="1:8" ht="12.75">
      <c r="A788" s="36" t="str">
        <f ca="1">IFERROR(__xludf.DUMMYFUNCTION("""COMPUTED_VALUE"""),"")</f>
        <v/>
      </c>
      <c r="B788" s="38"/>
      <c r="C788" s="54" t="str">
        <f ca="1">IFERROR(__xludf.DUMMYFUNCTION("""COMPUTED_VALUE"""),"")</f>
        <v/>
      </c>
      <c r="D788" s="54" t="str">
        <f ca="1">IFERROR(__xludf.DUMMYFUNCTION("""COMPUTED_VALUE"""),"")</f>
        <v/>
      </c>
      <c r="E788" s="55" t="str">
        <f ca="1">IFERROR(__xludf.DUMMYFUNCTION("""COMPUTED_VALUE"""),"")</f>
        <v/>
      </c>
      <c r="F788" s="54" t="str">
        <f ca="1">IFERROR(__xludf.DUMMYFUNCTION("""COMPUTED_VALUE"""),"")</f>
        <v/>
      </c>
      <c r="G788" s="38" t="str">
        <f ca="1">IFERROR(__xludf.DUMMYFUNCTION("""COMPUTED_VALUE"""),"")</f>
        <v/>
      </c>
      <c r="H788" s="38" t="str">
        <f ca="1">IFERROR(__xludf.DUMMYFUNCTION("""COMPUTED_VALUE"""),"")</f>
        <v/>
      </c>
    </row>
    <row r="789" spans="1:8" ht="12.75">
      <c r="A789" s="36" t="str">
        <f ca="1">IFERROR(__xludf.DUMMYFUNCTION("""COMPUTED_VALUE"""),"")</f>
        <v/>
      </c>
      <c r="B789" s="38"/>
      <c r="C789" s="54" t="str">
        <f ca="1">IFERROR(__xludf.DUMMYFUNCTION("""COMPUTED_VALUE"""),"")</f>
        <v/>
      </c>
      <c r="D789" s="54" t="str">
        <f ca="1">IFERROR(__xludf.DUMMYFUNCTION("""COMPUTED_VALUE"""),"")</f>
        <v/>
      </c>
      <c r="E789" s="55" t="str">
        <f ca="1">IFERROR(__xludf.DUMMYFUNCTION("""COMPUTED_VALUE"""),"")</f>
        <v/>
      </c>
      <c r="F789" s="54" t="str">
        <f ca="1">IFERROR(__xludf.DUMMYFUNCTION("""COMPUTED_VALUE"""),"")</f>
        <v/>
      </c>
      <c r="G789" s="38" t="str">
        <f ca="1">IFERROR(__xludf.DUMMYFUNCTION("""COMPUTED_VALUE"""),"")</f>
        <v/>
      </c>
      <c r="H789" s="38" t="str">
        <f ca="1">IFERROR(__xludf.DUMMYFUNCTION("""COMPUTED_VALUE"""),"")</f>
        <v/>
      </c>
    </row>
    <row r="790" spans="1:8" ht="12.75">
      <c r="A790" s="36" t="str">
        <f ca="1">IFERROR(__xludf.DUMMYFUNCTION("""COMPUTED_VALUE"""),"")</f>
        <v/>
      </c>
      <c r="B790" s="38"/>
      <c r="C790" s="54" t="str">
        <f ca="1">IFERROR(__xludf.DUMMYFUNCTION("""COMPUTED_VALUE"""),"")</f>
        <v/>
      </c>
      <c r="D790" s="54" t="str">
        <f ca="1">IFERROR(__xludf.DUMMYFUNCTION("""COMPUTED_VALUE"""),"")</f>
        <v/>
      </c>
      <c r="E790" s="55" t="str">
        <f ca="1">IFERROR(__xludf.DUMMYFUNCTION("""COMPUTED_VALUE"""),"")</f>
        <v/>
      </c>
      <c r="F790" s="54" t="str">
        <f ca="1">IFERROR(__xludf.DUMMYFUNCTION("""COMPUTED_VALUE"""),"")</f>
        <v/>
      </c>
      <c r="G790" s="38" t="str">
        <f ca="1">IFERROR(__xludf.DUMMYFUNCTION("""COMPUTED_VALUE"""),"")</f>
        <v/>
      </c>
      <c r="H790" s="38" t="str">
        <f ca="1">IFERROR(__xludf.DUMMYFUNCTION("""COMPUTED_VALUE"""),"")</f>
        <v/>
      </c>
    </row>
    <row r="791" spans="1:8" ht="12.75">
      <c r="A791" s="36" t="str">
        <f ca="1">IFERROR(__xludf.DUMMYFUNCTION("""COMPUTED_VALUE"""),"")</f>
        <v/>
      </c>
      <c r="B791" s="38"/>
      <c r="C791" s="54" t="str">
        <f ca="1">IFERROR(__xludf.DUMMYFUNCTION("""COMPUTED_VALUE"""),"")</f>
        <v/>
      </c>
      <c r="D791" s="54" t="str">
        <f ca="1">IFERROR(__xludf.DUMMYFUNCTION("""COMPUTED_VALUE"""),"")</f>
        <v/>
      </c>
      <c r="E791" s="55" t="str">
        <f ca="1">IFERROR(__xludf.DUMMYFUNCTION("""COMPUTED_VALUE"""),"")</f>
        <v/>
      </c>
      <c r="F791" s="54" t="str">
        <f ca="1">IFERROR(__xludf.DUMMYFUNCTION("""COMPUTED_VALUE"""),"")</f>
        <v/>
      </c>
      <c r="G791" s="38" t="str">
        <f ca="1">IFERROR(__xludf.DUMMYFUNCTION("""COMPUTED_VALUE"""),"")</f>
        <v/>
      </c>
      <c r="H791" s="38" t="str">
        <f ca="1">IFERROR(__xludf.DUMMYFUNCTION("""COMPUTED_VALUE"""),"")</f>
        <v/>
      </c>
    </row>
    <row r="792" spans="1:8" ht="12.75">
      <c r="A792" s="36" t="str">
        <f ca="1">IFERROR(__xludf.DUMMYFUNCTION("""COMPUTED_VALUE"""),"")</f>
        <v/>
      </c>
      <c r="B792" s="38"/>
      <c r="C792" s="54" t="str">
        <f ca="1">IFERROR(__xludf.DUMMYFUNCTION("""COMPUTED_VALUE"""),"")</f>
        <v/>
      </c>
      <c r="D792" s="54" t="str">
        <f ca="1">IFERROR(__xludf.DUMMYFUNCTION("""COMPUTED_VALUE"""),"")</f>
        <v/>
      </c>
      <c r="E792" s="55" t="str">
        <f ca="1">IFERROR(__xludf.DUMMYFUNCTION("""COMPUTED_VALUE"""),"")</f>
        <v/>
      </c>
      <c r="F792" s="54" t="str">
        <f ca="1">IFERROR(__xludf.DUMMYFUNCTION("""COMPUTED_VALUE"""),"")</f>
        <v/>
      </c>
      <c r="G792" s="38" t="str">
        <f ca="1">IFERROR(__xludf.DUMMYFUNCTION("""COMPUTED_VALUE"""),"")</f>
        <v/>
      </c>
      <c r="H792" s="38" t="str">
        <f ca="1">IFERROR(__xludf.DUMMYFUNCTION("""COMPUTED_VALUE"""),"")</f>
        <v/>
      </c>
    </row>
    <row r="793" spans="1:8" ht="12.75">
      <c r="A793" s="36" t="str">
        <f ca="1">IFERROR(__xludf.DUMMYFUNCTION("""COMPUTED_VALUE"""),"")</f>
        <v/>
      </c>
      <c r="B793" s="38"/>
      <c r="C793" s="54" t="str">
        <f ca="1">IFERROR(__xludf.DUMMYFUNCTION("""COMPUTED_VALUE"""),"")</f>
        <v/>
      </c>
      <c r="D793" s="54" t="str">
        <f ca="1">IFERROR(__xludf.DUMMYFUNCTION("""COMPUTED_VALUE"""),"")</f>
        <v/>
      </c>
      <c r="E793" s="55" t="str">
        <f ca="1">IFERROR(__xludf.DUMMYFUNCTION("""COMPUTED_VALUE"""),"")</f>
        <v/>
      </c>
      <c r="F793" s="54" t="str">
        <f ca="1">IFERROR(__xludf.DUMMYFUNCTION("""COMPUTED_VALUE"""),"")</f>
        <v/>
      </c>
      <c r="G793" s="38" t="str">
        <f ca="1">IFERROR(__xludf.DUMMYFUNCTION("""COMPUTED_VALUE"""),"")</f>
        <v/>
      </c>
      <c r="H793" s="38" t="str">
        <f ca="1">IFERROR(__xludf.DUMMYFUNCTION("""COMPUTED_VALUE"""),"")</f>
        <v/>
      </c>
    </row>
    <row r="794" spans="1:8" ht="12.75">
      <c r="A794" s="36" t="str">
        <f ca="1">IFERROR(__xludf.DUMMYFUNCTION("""COMPUTED_VALUE"""),"")</f>
        <v/>
      </c>
      <c r="B794" s="38"/>
      <c r="C794" s="54" t="str">
        <f ca="1">IFERROR(__xludf.DUMMYFUNCTION("""COMPUTED_VALUE"""),"")</f>
        <v/>
      </c>
      <c r="D794" s="54" t="str">
        <f ca="1">IFERROR(__xludf.DUMMYFUNCTION("""COMPUTED_VALUE"""),"")</f>
        <v/>
      </c>
      <c r="E794" s="55" t="str">
        <f ca="1">IFERROR(__xludf.DUMMYFUNCTION("""COMPUTED_VALUE"""),"")</f>
        <v/>
      </c>
      <c r="F794" s="54" t="str">
        <f ca="1">IFERROR(__xludf.DUMMYFUNCTION("""COMPUTED_VALUE"""),"")</f>
        <v/>
      </c>
      <c r="G794" s="38" t="str">
        <f ca="1">IFERROR(__xludf.DUMMYFUNCTION("""COMPUTED_VALUE"""),"")</f>
        <v/>
      </c>
      <c r="H794" s="38" t="str">
        <f ca="1">IFERROR(__xludf.DUMMYFUNCTION("""COMPUTED_VALUE"""),"")</f>
        <v/>
      </c>
    </row>
    <row r="795" spans="1:8" ht="12.75">
      <c r="A795" s="36" t="str">
        <f ca="1">IFERROR(__xludf.DUMMYFUNCTION("""COMPUTED_VALUE"""),"")</f>
        <v/>
      </c>
      <c r="B795" s="38"/>
      <c r="C795" s="54" t="str">
        <f ca="1">IFERROR(__xludf.DUMMYFUNCTION("""COMPUTED_VALUE"""),"")</f>
        <v/>
      </c>
      <c r="D795" s="54" t="str">
        <f ca="1">IFERROR(__xludf.DUMMYFUNCTION("""COMPUTED_VALUE"""),"")</f>
        <v/>
      </c>
      <c r="E795" s="55" t="str">
        <f ca="1">IFERROR(__xludf.DUMMYFUNCTION("""COMPUTED_VALUE"""),"")</f>
        <v/>
      </c>
      <c r="F795" s="54" t="str">
        <f ca="1">IFERROR(__xludf.DUMMYFUNCTION("""COMPUTED_VALUE"""),"")</f>
        <v/>
      </c>
      <c r="G795" s="38" t="str">
        <f ca="1">IFERROR(__xludf.DUMMYFUNCTION("""COMPUTED_VALUE"""),"")</f>
        <v/>
      </c>
      <c r="H795" s="38" t="str">
        <f ca="1">IFERROR(__xludf.DUMMYFUNCTION("""COMPUTED_VALUE"""),"")</f>
        <v/>
      </c>
    </row>
    <row r="796" spans="1:8" ht="12.75">
      <c r="A796" s="36" t="str">
        <f ca="1">IFERROR(__xludf.DUMMYFUNCTION("""COMPUTED_VALUE"""),"")</f>
        <v/>
      </c>
      <c r="B796" s="38"/>
      <c r="C796" s="54" t="str">
        <f ca="1">IFERROR(__xludf.DUMMYFUNCTION("""COMPUTED_VALUE"""),"")</f>
        <v/>
      </c>
      <c r="D796" s="54" t="str">
        <f ca="1">IFERROR(__xludf.DUMMYFUNCTION("""COMPUTED_VALUE"""),"")</f>
        <v/>
      </c>
      <c r="E796" s="55" t="str">
        <f ca="1">IFERROR(__xludf.DUMMYFUNCTION("""COMPUTED_VALUE"""),"")</f>
        <v/>
      </c>
      <c r="F796" s="54" t="str">
        <f ca="1">IFERROR(__xludf.DUMMYFUNCTION("""COMPUTED_VALUE"""),"")</f>
        <v/>
      </c>
      <c r="G796" s="38" t="str">
        <f ca="1">IFERROR(__xludf.DUMMYFUNCTION("""COMPUTED_VALUE"""),"")</f>
        <v/>
      </c>
      <c r="H796" s="38" t="str">
        <f ca="1">IFERROR(__xludf.DUMMYFUNCTION("""COMPUTED_VALUE"""),"")</f>
        <v/>
      </c>
    </row>
    <row r="797" spans="1:8" ht="12.75">
      <c r="A797" s="36" t="str">
        <f ca="1">IFERROR(__xludf.DUMMYFUNCTION("""COMPUTED_VALUE"""),"")</f>
        <v/>
      </c>
      <c r="B797" s="38"/>
      <c r="C797" s="54" t="str">
        <f ca="1">IFERROR(__xludf.DUMMYFUNCTION("""COMPUTED_VALUE"""),"")</f>
        <v/>
      </c>
      <c r="D797" s="54" t="str">
        <f ca="1">IFERROR(__xludf.DUMMYFUNCTION("""COMPUTED_VALUE"""),"")</f>
        <v/>
      </c>
      <c r="E797" s="55" t="str">
        <f ca="1">IFERROR(__xludf.DUMMYFUNCTION("""COMPUTED_VALUE"""),"")</f>
        <v/>
      </c>
      <c r="F797" s="54" t="str">
        <f ca="1">IFERROR(__xludf.DUMMYFUNCTION("""COMPUTED_VALUE"""),"")</f>
        <v/>
      </c>
      <c r="G797" s="38" t="str">
        <f ca="1">IFERROR(__xludf.DUMMYFUNCTION("""COMPUTED_VALUE"""),"")</f>
        <v/>
      </c>
      <c r="H797" s="38" t="str">
        <f ca="1">IFERROR(__xludf.DUMMYFUNCTION("""COMPUTED_VALUE"""),"")</f>
        <v/>
      </c>
    </row>
    <row r="798" spans="1:8" ht="12.75">
      <c r="A798" s="36" t="str">
        <f ca="1">IFERROR(__xludf.DUMMYFUNCTION("""COMPUTED_VALUE"""),"")</f>
        <v/>
      </c>
      <c r="B798" s="38"/>
      <c r="C798" s="54" t="str">
        <f ca="1">IFERROR(__xludf.DUMMYFUNCTION("""COMPUTED_VALUE"""),"")</f>
        <v/>
      </c>
      <c r="D798" s="54" t="str">
        <f ca="1">IFERROR(__xludf.DUMMYFUNCTION("""COMPUTED_VALUE"""),"")</f>
        <v/>
      </c>
      <c r="E798" s="55" t="str">
        <f ca="1">IFERROR(__xludf.DUMMYFUNCTION("""COMPUTED_VALUE"""),"")</f>
        <v/>
      </c>
      <c r="F798" s="54" t="str">
        <f ca="1">IFERROR(__xludf.DUMMYFUNCTION("""COMPUTED_VALUE"""),"")</f>
        <v/>
      </c>
      <c r="G798" s="38" t="str">
        <f ca="1">IFERROR(__xludf.DUMMYFUNCTION("""COMPUTED_VALUE"""),"")</f>
        <v/>
      </c>
      <c r="H798" s="38" t="str">
        <f ca="1">IFERROR(__xludf.DUMMYFUNCTION("""COMPUTED_VALUE"""),"")</f>
        <v/>
      </c>
    </row>
    <row r="799" spans="1:8" ht="12.75">
      <c r="A799" s="36" t="str">
        <f ca="1">IFERROR(__xludf.DUMMYFUNCTION("""COMPUTED_VALUE"""),"")</f>
        <v/>
      </c>
      <c r="B799" s="38"/>
      <c r="C799" s="54" t="str">
        <f ca="1">IFERROR(__xludf.DUMMYFUNCTION("""COMPUTED_VALUE"""),"")</f>
        <v/>
      </c>
      <c r="D799" s="54" t="str">
        <f ca="1">IFERROR(__xludf.DUMMYFUNCTION("""COMPUTED_VALUE"""),"")</f>
        <v/>
      </c>
      <c r="E799" s="55" t="str">
        <f ca="1">IFERROR(__xludf.DUMMYFUNCTION("""COMPUTED_VALUE"""),"")</f>
        <v/>
      </c>
      <c r="F799" s="54" t="str">
        <f ca="1">IFERROR(__xludf.DUMMYFUNCTION("""COMPUTED_VALUE"""),"")</f>
        <v/>
      </c>
      <c r="G799" s="38" t="str">
        <f ca="1">IFERROR(__xludf.DUMMYFUNCTION("""COMPUTED_VALUE"""),"")</f>
        <v/>
      </c>
      <c r="H799" s="38" t="str">
        <f ca="1">IFERROR(__xludf.DUMMYFUNCTION("""COMPUTED_VALUE"""),"")</f>
        <v/>
      </c>
    </row>
    <row r="800" spans="1:8" ht="12.75">
      <c r="A800" s="36" t="str">
        <f ca="1">IFERROR(__xludf.DUMMYFUNCTION("""COMPUTED_VALUE"""),"")</f>
        <v/>
      </c>
      <c r="B800" s="38"/>
      <c r="C800" s="54" t="str">
        <f ca="1">IFERROR(__xludf.DUMMYFUNCTION("""COMPUTED_VALUE"""),"")</f>
        <v/>
      </c>
      <c r="D800" s="54" t="str">
        <f ca="1">IFERROR(__xludf.DUMMYFUNCTION("""COMPUTED_VALUE"""),"")</f>
        <v/>
      </c>
      <c r="E800" s="55" t="str">
        <f ca="1">IFERROR(__xludf.DUMMYFUNCTION("""COMPUTED_VALUE"""),"")</f>
        <v/>
      </c>
      <c r="F800" s="54" t="str">
        <f ca="1">IFERROR(__xludf.DUMMYFUNCTION("""COMPUTED_VALUE"""),"")</f>
        <v/>
      </c>
      <c r="G800" s="38" t="str">
        <f ca="1">IFERROR(__xludf.DUMMYFUNCTION("""COMPUTED_VALUE"""),"")</f>
        <v/>
      </c>
      <c r="H800" s="38" t="str">
        <f ca="1">IFERROR(__xludf.DUMMYFUNCTION("""COMPUTED_VALUE"""),"")</f>
        <v/>
      </c>
    </row>
    <row r="801" spans="1:8" ht="12.75">
      <c r="A801" s="36" t="str">
        <f ca="1">IFERROR(__xludf.DUMMYFUNCTION("""COMPUTED_VALUE"""),"")</f>
        <v/>
      </c>
      <c r="B801" s="38"/>
      <c r="C801" s="54" t="str">
        <f ca="1">IFERROR(__xludf.DUMMYFUNCTION("""COMPUTED_VALUE"""),"")</f>
        <v/>
      </c>
      <c r="D801" s="54" t="str">
        <f ca="1">IFERROR(__xludf.DUMMYFUNCTION("""COMPUTED_VALUE"""),"")</f>
        <v/>
      </c>
      <c r="E801" s="55" t="str">
        <f ca="1">IFERROR(__xludf.DUMMYFUNCTION("""COMPUTED_VALUE"""),"")</f>
        <v/>
      </c>
      <c r="F801" s="54" t="str">
        <f ca="1">IFERROR(__xludf.DUMMYFUNCTION("""COMPUTED_VALUE"""),"")</f>
        <v/>
      </c>
      <c r="G801" s="38" t="str">
        <f ca="1">IFERROR(__xludf.DUMMYFUNCTION("""COMPUTED_VALUE"""),"")</f>
        <v/>
      </c>
      <c r="H801" s="38" t="str">
        <f ca="1">IFERROR(__xludf.DUMMYFUNCTION("""COMPUTED_VALUE"""),"")</f>
        <v/>
      </c>
    </row>
    <row r="802" spans="1:8" ht="12.75">
      <c r="A802" s="36" t="str">
        <f ca="1">IFERROR(__xludf.DUMMYFUNCTION("""COMPUTED_VALUE"""),"")</f>
        <v/>
      </c>
      <c r="B802" s="38"/>
      <c r="C802" s="54" t="str">
        <f ca="1">IFERROR(__xludf.DUMMYFUNCTION("""COMPUTED_VALUE"""),"")</f>
        <v/>
      </c>
      <c r="D802" s="54" t="str">
        <f ca="1">IFERROR(__xludf.DUMMYFUNCTION("""COMPUTED_VALUE"""),"")</f>
        <v/>
      </c>
      <c r="E802" s="55" t="str">
        <f ca="1">IFERROR(__xludf.DUMMYFUNCTION("""COMPUTED_VALUE"""),"")</f>
        <v/>
      </c>
      <c r="F802" s="54" t="str">
        <f ca="1">IFERROR(__xludf.DUMMYFUNCTION("""COMPUTED_VALUE"""),"")</f>
        <v/>
      </c>
      <c r="G802" s="38" t="str">
        <f ca="1">IFERROR(__xludf.DUMMYFUNCTION("""COMPUTED_VALUE"""),"")</f>
        <v/>
      </c>
      <c r="H802" s="38" t="str">
        <f ca="1">IFERROR(__xludf.DUMMYFUNCTION("""COMPUTED_VALUE"""),"")</f>
        <v/>
      </c>
    </row>
    <row r="803" spans="1:8" ht="12.75">
      <c r="A803" s="36" t="str">
        <f ca="1">IFERROR(__xludf.DUMMYFUNCTION("""COMPUTED_VALUE"""),"")</f>
        <v/>
      </c>
      <c r="B803" s="38"/>
      <c r="C803" s="54" t="str">
        <f ca="1">IFERROR(__xludf.DUMMYFUNCTION("""COMPUTED_VALUE"""),"")</f>
        <v/>
      </c>
      <c r="D803" s="54" t="str">
        <f ca="1">IFERROR(__xludf.DUMMYFUNCTION("""COMPUTED_VALUE"""),"")</f>
        <v/>
      </c>
      <c r="E803" s="55" t="str">
        <f ca="1">IFERROR(__xludf.DUMMYFUNCTION("""COMPUTED_VALUE"""),"")</f>
        <v/>
      </c>
      <c r="F803" s="54" t="str">
        <f ca="1">IFERROR(__xludf.DUMMYFUNCTION("""COMPUTED_VALUE"""),"")</f>
        <v/>
      </c>
      <c r="G803" s="38" t="str">
        <f ca="1">IFERROR(__xludf.DUMMYFUNCTION("""COMPUTED_VALUE"""),"")</f>
        <v/>
      </c>
      <c r="H803" s="38" t="str">
        <f ca="1">IFERROR(__xludf.DUMMYFUNCTION("""COMPUTED_VALUE"""),"")</f>
        <v/>
      </c>
    </row>
    <row r="804" spans="1:8" ht="12.75">
      <c r="A804" s="36" t="str">
        <f ca="1">IFERROR(__xludf.DUMMYFUNCTION("""COMPUTED_VALUE"""),"")</f>
        <v/>
      </c>
      <c r="B804" s="38"/>
      <c r="C804" s="54" t="str">
        <f ca="1">IFERROR(__xludf.DUMMYFUNCTION("""COMPUTED_VALUE"""),"")</f>
        <v/>
      </c>
      <c r="D804" s="54" t="str">
        <f ca="1">IFERROR(__xludf.DUMMYFUNCTION("""COMPUTED_VALUE"""),"")</f>
        <v/>
      </c>
      <c r="E804" s="55" t="str">
        <f ca="1">IFERROR(__xludf.DUMMYFUNCTION("""COMPUTED_VALUE"""),"")</f>
        <v/>
      </c>
      <c r="F804" s="54" t="str">
        <f ca="1">IFERROR(__xludf.DUMMYFUNCTION("""COMPUTED_VALUE"""),"")</f>
        <v/>
      </c>
      <c r="G804" s="38" t="str">
        <f ca="1">IFERROR(__xludf.DUMMYFUNCTION("""COMPUTED_VALUE"""),"")</f>
        <v/>
      </c>
      <c r="H804" s="38" t="str">
        <f ca="1">IFERROR(__xludf.DUMMYFUNCTION("""COMPUTED_VALUE"""),"")</f>
        <v/>
      </c>
    </row>
    <row r="805" spans="1:8" ht="12.75">
      <c r="A805" s="36" t="str">
        <f ca="1">IFERROR(__xludf.DUMMYFUNCTION("""COMPUTED_VALUE"""),"")</f>
        <v/>
      </c>
      <c r="B805" s="38"/>
      <c r="C805" s="54" t="str">
        <f ca="1">IFERROR(__xludf.DUMMYFUNCTION("""COMPUTED_VALUE"""),"")</f>
        <v/>
      </c>
      <c r="D805" s="54" t="str">
        <f ca="1">IFERROR(__xludf.DUMMYFUNCTION("""COMPUTED_VALUE"""),"")</f>
        <v/>
      </c>
      <c r="E805" s="55" t="str">
        <f ca="1">IFERROR(__xludf.DUMMYFUNCTION("""COMPUTED_VALUE"""),"")</f>
        <v/>
      </c>
      <c r="F805" s="54" t="str">
        <f ca="1">IFERROR(__xludf.DUMMYFUNCTION("""COMPUTED_VALUE"""),"")</f>
        <v/>
      </c>
      <c r="G805" s="38" t="str">
        <f ca="1">IFERROR(__xludf.DUMMYFUNCTION("""COMPUTED_VALUE"""),"")</f>
        <v/>
      </c>
      <c r="H805" s="38" t="str">
        <f ca="1">IFERROR(__xludf.DUMMYFUNCTION("""COMPUTED_VALUE"""),"")</f>
        <v/>
      </c>
    </row>
    <row r="806" spans="1:8" ht="12.75">
      <c r="A806" s="36" t="str">
        <f ca="1">IFERROR(__xludf.DUMMYFUNCTION("""COMPUTED_VALUE"""),"")</f>
        <v/>
      </c>
      <c r="B806" s="38"/>
      <c r="C806" s="54" t="str">
        <f ca="1">IFERROR(__xludf.DUMMYFUNCTION("""COMPUTED_VALUE"""),"")</f>
        <v/>
      </c>
      <c r="D806" s="54" t="str">
        <f ca="1">IFERROR(__xludf.DUMMYFUNCTION("""COMPUTED_VALUE"""),"")</f>
        <v/>
      </c>
      <c r="E806" s="55" t="str">
        <f ca="1">IFERROR(__xludf.DUMMYFUNCTION("""COMPUTED_VALUE"""),"")</f>
        <v/>
      </c>
      <c r="F806" s="54" t="str">
        <f ca="1">IFERROR(__xludf.DUMMYFUNCTION("""COMPUTED_VALUE"""),"")</f>
        <v/>
      </c>
      <c r="G806" s="38" t="str">
        <f ca="1">IFERROR(__xludf.DUMMYFUNCTION("""COMPUTED_VALUE"""),"")</f>
        <v/>
      </c>
      <c r="H806" s="38" t="str">
        <f ca="1">IFERROR(__xludf.DUMMYFUNCTION("""COMPUTED_VALUE"""),"")</f>
        <v/>
      </c>
    </row>
    <row r="807" spans="1:8" ht="12.75">
      <c r="A807" s="36" t="str">
        <f ca="1">IFERROR(__xludf.DUMMYFUNCTION("""COMPUTED_VALUE"""),"")</f>
        <v/>
      </c>
      <c r="B807" s="38"/>
      <c r="C807" s="54" t="str">
        <f ca="1">IFERROR(__xludf.DUMMYFUNCTION("""COMPUTED_VALUE"""),"")</f>
        <v/>
      </c>
      <c r="D807" s="54" t="str">
        <f ca="1">IFERROR(__xludf.DUMMYFUNCTION("""COMPUTED_VALUE"""),"")</f>
        <v/>
      </c>
      <c r="E807" s="55" t="str">
        <f ca="1">IFERROR(__xludf.DUMMYFUNCTION("""COMPUTED_VALUE"""),"")</f>
        <v/>
      </c>
      <c r="F807" s="54" t="str">
        <f ca="1">IFERROR(__xludf.DUMMYFUNCTION("""COMPUTED_VALUE"""),"")</f>
        <v/>
      </c>
      <c r="G807" s="38" t="str">
        <f ca="1">IFERROR(__xludf.DUMMYFUNCTION("""COMPUTED_VALUE"""),"")</f>
        <v/>
      </c>
      <c r="H807" s="38" t="str">
        <f ca="1">IFERROR(__xludf.DUMMYFUNCTION("""COMPUTED_VALUE"""),"")</f>
        <v/>
      </c>
    </row>
    <row r="808" spans="1:8" ht="12.75">
      <c r="A808" s="36" t="str">
        <f ca="1">IFERROR(__xludf.DUMMYFUNCTION("""COMPUTED_VALUE"""),"")</f>
        <v/>
      </c>
      <c r="B808" s="38"/>
      <c r="C808" s="54" t="str">
        <f ca="1">IFERROR(__xludf.DUMMYFUNCTION("""COMPUTED_VALUE"""),"")</f>
        <v/>
      </c>
      <c r="D808" s="54" t="str">
        <f ca="1">IFERROR(__xludf.DUMMYFUNCTION("""COMPUTED_VALUE"""),"")</f>
        <v/>
      </c>
      <c r="E808" s="55" t="str">
        <f ca="1">IFERROR(__xludf.DUMMYFUNCTION("""COMPUTED_VALUE"""),"")</f>
        <v/>
      </c>
      <c r="F808" s="54" t="str">
        <f ca="1">IFERROR(__xludf.DUMMYFUNCTION("""COMPUTED_VALUE"""),"")</f>
        <v/>
      </c>
      <c r="G808" s="38" t="str">
        <f ca="1">IFERROR(__xludf.DUMMYFUNCTION("""COMPUTED_VALUE"""),"")</f>
        <v/>
      </c>
      <c r="H808" s="38" t="str">
        <f ca="1">IFERROR(__xludf.DUMMYFUNCTION("""COMPUTED_VALUE"""),"")</f>
        <v/>
      </c>
    </row>
    <row r="809" spans="1:8" ht="12.75">
      <c r="A809" s="36" t="str">
        <f ca="1">IFERROR(__xludf.DUMMYFUNCTION("""COMPUTED_VALUE"""),"")</f>
        <v/>
      </c>
      <c r="B809" s="38"/>
      <c r="C809" s="54" t="str">
        <f ca="1">IFERROR(__xludf.DUMMYFUNCTION("""COMPUTED_VALUE"""),"")</f>
        <v/>
      </c>
      <c r="D809" s="54" t="str">
        <f ca="1">IFERROR(__xludf.DUMMYFUNCTION("""COMPUTED_VALUE"""),"")</f>
        <v/>
      </c>
      <c r="E809" s="55" t="str">
        <f ca="1">IFERROR(__xludf.DUMMYFUNCTION("""COMPUTED_VALUE"""),"")</f>
        <v/>
      </c>
      <c r="F809" s="54" t="str">
        <f ca="1">IFERROR(__xludf.DUMMYFUNCTION("""COMPUTED_VALUE"""),"")</f>
        <v/>
      </c>
      <c r="G809" s="38" t="str">
        <f ca="1">IFERROR(__xludf.DUMMYFUNCTION("""COMPUTED_VALUE"""),"")</f>
        <v/>
      </c>
      <c r="H809" s="38" t="str">
        <f ca="1">IFERROR(__xludf.DUMMYFUNCTION("""COMPUTED_VALUE"""),"")</f>
        <v/>
      </c>
    </row>
    <row r="810" spans="1:8" ht="12.75">
      <c r="A810" s="36" t="str">
        <f ca="1">IFERROR(__xludf.DUMMYFUNCTION("""COMPUTED_VALUE"""),"")</f>
        <v/>
      </c>
      <c r="B810" s="38"/>
      <c r="C810" s="54" t="str">
        <f ca="1">IFERROR(__xludf.DUMMYFUNCTION("""COMPUTED_VALUE"""),"")</f>
        <v/>
      </c>
      <c r="D810" s="54" t="str">
        <f ca="1">IFERROR(__xludf.DUMMYFUNCTION("""COMPUTED_VALUE"""),"")</f>
        <v/>
      </c>
      <c r="E810" s="55" t="str">
        <f ca="1">IFERROR(__xludf.DUMMYFUNCTION("""COMPUTED_VALUE"""),"")</f>
        <v/>
      </c>
      <c r="F810" s="54" t="str">
        <f ca="1">IFERROR(__xludf.DUMMYFUNCTION("""COMPUTED_VALUE"""),"")</f>
        <v/>
      </c>
      <c r="G810" s="38" t="str">
        <f ca="1">IFERROR(__xludf.DUMMYFUNCTION("""COMPUTED_VALUE"""),"")</f>
        <v/>
      </c>
      <c r="H810" s="38" t="str">
        <f ca="1">IFERROR(__xludf.DUMMYFUNCTION("""COMPUTED_VALUE"""),"")</f>
        <v/>
      </c>
    </row>
    <row r="811" spans="1:8" ht="12.75">
      <c r="A811" s="36" t="str">
        <f ca="1">IFERROR(__xludf.DUMMYFUNCTION("""COMPUTED_VALUE"""),"")</f>
        <v/>
      </c>
      <c r="B811" s="38"/>
      <c r="C811" s="54" t="str">
        <f ca="1">IFERROR(__xludf.DUMMYFUNCTION("""COMPUTED_VALUE"""),"")</f>
        <v/>
      </c>
      <c r="D811" s="54" t="str">
        <f ca="1">IFERROR(__xludf.DUMMYFUNCTION("""COMPUTED_VALUE"""),"")</f>
        <v/>
      </c>
      <c r="E811" s="55" t="str">
        <f ca="1">IFERROR(__xludf.DUMMYFUNCTION("""COMPUTED_VALUE"""),"")</f>
        <v/>
      </c>
      <c r="F811" s="54" t="str">
        <f ca="1">IFERROR(__xludf.DUMMYFUNCTION("""COMPUTED_VALUE"""),"")</f>
        <v/>
      </c>
      <c r="G811" s="38" t="str">
        <f ca="1">IFERROR(__xludf.DUMMYFUNCTION("""COMPUTED_VALUE"""),"")</f>
        <v/>
      </c>
      <c r="H811" s="38" t="str">
        <f ca="1">IFERROR(__xludf.DUMMYFUNCTION("""COMPUTED_VALUE"""),"")</f>
        <v/>
      </c>
    </row>
    <row r="812" spans="1:8" ht="12.75">
      <c r="A812" s="36" t="str">
        <f ca="1">IFERROR(__xludf.DUMMYFUNCTION("""COMPUTED_VALUE"""),"")</f>
        <v/>
      </c>
      <c r="B812" s="38"/>
      <c r="C812" s="54" t="str">
        <f ca="1">IFERROR(__xludf.DUMMYFUNCTION("""COMPUTED_VALUE"""),"")</f>
        <v/>
      </c>
      <c r="D812" s="54" t="str">
        <f ca="1">IFERROR(__xludf.DUMMYFUNCTION("""COMPUTED_VALUE"""),"")</f>
        <v/>
      </c>
      <c r="E812" s="55" t="str">
        <f ca="1">IFERROR(__xludf.DUMMYFUNCTION("""COMPUTED_VALUE"""),"")</f>
        <v/>
      </c>
      <c r="F812" s="54" t="str">
        <f ca="1">IFERROR(__xludf.DUMMYFUNCTION("""COMPUTED_VALUE"""),"")</f>
        <v/>
      </c>
      <c r="G812" s="38" t="str">
        <f ca="1">IFERROR(__xludf.DUMMYFUNCTION("""COMPUTED_VALUE"""),"")</f>
        <v/>
      </c>
      <c r="H812" s="38" t="str">
        <f ca="1">IFERROR(__xludf.DUMMYFUNCTION("""COMPUTED_VALUE"""),"")</f>
        <v/>
      </c>
    </row>
    <row r="813" spans="1:8" ht="12.75">
      <c r="A813" s="36" t="str">
        <f ca="1">IFERROR(__xludf.DUMMYFUNCTION("""COMPUTED_VALUE"""),"")</f>
        <v/>
      </c>
      <c r="B813" s="38"/>
      <c r="C813" s="54" t="str">
        <f ca="1">IFERROR(__xludf.DUMMYFUNCTION("""COMPUTED_VALUE"""),"")</f>
        <v/>
      </c>
      <c r="D813" s="54" t="str">
        <f ca="1">IFERROR(__xludf.DUMMYFUNCTION("""COMPUTED_VALUE"""),"")</f>
        <v/>
      </c>
      <c r="E813" s="55" t="str">
        <f ca="1">IFERROR(__xludf.DUMMYFUNCTION("""COMPUTED_VALUE"""),"")</f>
        <v/>
      </c>
      <c r="F813" s="54" t="str">
        <f ca="1">IFERROR(__xludf.DUMMYFUNCTION("""COMPUTED_VALUE"""),"")</f>
        <v/>
      </c>
      <c r="G813" s="38" t="str">
        <f ca="1">IFERROR(__xludf.DUMMYFUNCTION("""COMPUTED_VALUE"""),"")</f>
        <v/>
      </c>
      <c r="H813" s="38" t="str">
        <f ca="1">IFERROR(__xludf.DUMMYFUNCTION("""COMPUTED_VALUE"""),"")</f>
        <v/>
      </c>
    </row>
    <row r="814" spans="1:8" ht="12.75">
      <c r="A814" s="36" t="str">
        <f ca="1">IFERROR(__xludf.DUMMYFUNCTION("""COMPUTED_VALUE"""),"")</f>
        <v/>
      </c>
      <c r="B814" s="38"/>
      <c r="C814" s="54" t="str">
        <f ca="1">IFERROR(__xludf.DUMMYFUNCTION("""COMPUTED_VALUE"""),"")</f>
        <v/>
      </c>
      <c r="D814" s="54" t="str">
        <f ca="1">IFERROR(__xludf.DUMMYFUNCTION("""COMPUTED_VALUE"""),"")</f>
        <v/>
      </c>
      <c r="E814" s="55" t="str">
        <f ca="1">IFERROR(__xludf.DUMMYFUNCTION("""COMPUTED_VALUE"""),"")</f>
        <v/>
      </c>
      <c r="F814" s="54" t="str">
        <f ca="1">IFERROR(__xludf.DUMMYFUNCTION("""COMPUTED_VALUE"""),"")</f>
        <v/>
      </c>
      <c r="G814" s="38" t="str">
        <f ca="1">IFERROR(__xludf.DUMMYFUNCTION("""COMPUTED_VALUE"""),"")</f>
        <v/>
      </c>
      <c r="H814" s="38" t="str">
        <f ca="1">IFERROR(__xludf.DUMMYFUNCTION("""COMPUTED_VALUE"""),"")</f>
        <v/>
      </c>
    </row>
    <row r="815" spans="1:8" ht="12.75">
      <c r="A815" s="36" t="str">
        <f ca="1">IFERROR(__xludf.DUMMYFUNCTION("""COMPUTED_VALUE"""),"")</f>
        <v/>
      </c>
      <c r="B815" s="38"/>
      <c r="C815" s="54" t="str">
        <f ca="1">IFERROR(__xludf.DUMMYFUNCTION("""COMPUTED_VALUE"""),"")</f>
        <v/>
      </c>
      <c r="D815" s="54" t="str">
        <f ca="1">IFERROR(__xludf.DUMMYFUNCTION("""COMPUTED_VALUE"""),"")</f>
        <v/>
      </c>
      <c r="E815" s="55" t="str">
        <f ca="1">IFERROR(__xludf.DUMMYFUNCTION("""COMPUTED_VALUE"""),"")</f>
        <v/>
      </c>
      <c r="F815" s="54" t="str">
        <f ca="1">IFERROR(__xludf.DUMMYFUNCTION("""COMPUTED_VALUE"""),"")</f>
        <v/>
      </c>
      <c r="G815" s="38" t="str">
        <f ca="1">IFERROR(__xludf.DUMMYFUNCTION("""COMPUTED_VALUE"""),"")</f>
        <v/>
      </c>
      <c r="H815" s="38" t="str">
        <f ca="1">IFERROR(__xludf.DUMMYFUNCTION("""COMPUTED_VALUE"""),"")</f>
        <v/>
      </c>
    </row>
    <row r="816" spans="1:8" ht="12.75">
      <c r="A816" s="36" t="str">
        <f ca="1">IFERROR(__xludf.DUMMYFUNCTION("""COMPUTED_VALUE"""),"")</f>
        <v/>
      </c>
      <c r="B816" s="38"/>
      <c r="C816" s="54" t="str">
        <f ca="1">IFERROR(__xludf.DUMMYFUNCTION("""COMPUTED_VALUE"""),"")</f>
        <v/>
      </c>
      <c r="D816" s="54" t="str">
        <f ca="1">IFERROR(__xludf.DUMMYFUNCTION("""COMPUTED_VALUE"""),"")</f>
        <v/>
      </c>
      <c r="E816" s="55" t="str">
        <f ca="1">IFERROR(__xludf.DUMMYFUNCTION("""COMPUTED_VALUE"""),"")</f>
        <v/>
      </c>
      <c r="F816" s="54" t="str">
        <f ca="1">IFERROR(__xludf.DUMMYFUNCTION("""COMPUTED_VALUE"""),"")</f>
        <v/>
      </c>
      <c r="G816" s="38" t="str">
        <f ca="1">IFERROR(__xludf.DUMMYFUNCTION("""COMPUTED_VALUE"""),"")</f>
        <v/>
      </c>
      <c r="H816" s="38" t="str">
        <f ca="1">IFERROR(__xludf.DUMMYFUNCTION("""COMPUTED_VALUE"""),"")</f>
        <v/>
      </c>
    </row>
    <row r="817" spans="1:8" ht="12.75">
      <c r="A817" s="36" t="str">
        <f ca="1">IFERROR(__xludf.DUMMYFUNCTION("""COMPUTED_VALUE"""),"")</f>
        <v/>
      </c>
      <c r="B817" s="38"/>
      <c r="C817" s="54" t="str">
        <f ca="1">IFERROR(__xludf.DUMMYFUNCTION("""COMPUTED_VALUE"""),"")</f>
        <v/>
      </c>
      <c r="D817" s="54" t="str">
        <f ca="1">IFERROR(__xludf.DUMMYFUNCTION("""COMPUTED_VALUE"""),"")</f>
        <v/>
      </c>
      <c r="E817" s="55" t="str">
        <f ca="1">IFERROR(__xludf.DUMMYFUNCTION("""COMPUTED_VALUE"""),"")</f>
        <v/>
      </c>
      <c r="F817" s="54" t="str">
        <f ca="1">IFERROR(__xludf.DUMMYFUNCTION("""COMPUTED_VALUE"""),"")</f>
        <v/>
      </c>
      <c r="G817" s="38" t="str">
        <f ca="1">IFERROR(__xludf.DUMMYFUNCTION("""COMPUTED_VALUE"""),"")</f>
        <v/>
      </c>
      <c r="H817" s="38" t="str">
        <f ca="1">IFERROR(__xludf.DUMMYFUNCTION("""COMPUTED_VALUE"""),"")</f>
        <v/>
      </c>
    </row>
    <row r="818" spans="1:8" ht="12.75">
      <c r="A818" s="36" t="str">
        <f ca="1">IFERROR(__xludf.DUMMYFUNCTION("""COMPUTED_VALUE"""),"")</f>
        <v/>
      </c>
      <c r="B818" s="38"/>
      <c r="C818" s="54" t="str">
        <f ca="1">IFERROR(__xludf.DUMMYFUNCTION("""COMPUTED_VALUE"""),"")</f>
        <v/>
      </c>
      <c r="D818" s="54" t="str">
        <f ca="1">IFERROR(__xludf.DUMMYFUNCTION("""COMPUTED_VALUE"""),"")</f>
        <v/>
      </c>
      <c r="E818" s="55" t="str">
        <f ca="1">IFERROR(__xludf.DUMMYFUNCTION("""COMPUTED_VALUE"""),"")</f>
        <v/>
      </c>
      <c r="F818" s="54" t="str">
        <f ca="1">IFERROR(__xludf.DUMMYFUNCTION("""COMPUTED_VALUE"""),"")</f>
        <v/>
      </c>
      <c r="G818" s="38" t="str">
        <f ca="1">IFERROR(__xludf.DUMMYFUNCTION("""COMPUTED_VALUE"""),"")</f>
        <v/>
      </c>
      <c r="H818" s="38" t="str">
        <f ca="1">IFERROR(__xludf.DUMMYFUNCTION("""COMPUTED_VALUE"""),"")</f>
        <v/>
      </c>
    </row>
    <row r="819" spans="1:8" ht="12.75">
      <c r="A819" s="36" t="str">
        <f ca="1">IFERROR(__xludf.DUMMYFUNCTION("""COMPUTED_VALUE"""),"")</f>
        <v/>
      </c>
      <c r="B819" s="38"/>
      <c r="C819" s="54" t="str">
        <f ca="1">IFERROR(__xludf.DUMMYFUNCTION("""COMPUTED_VALUE"""),"")</f>
        <v/>
      </c>
      <c r="D819" s="54" t="str">
        <f ca="1">IFERROR(__xludf.DUMMYFUNCTION("""COMPUTED_VALUE"""),"")</f>
        <v/>
      </c>
      <c r="E819" s="55" t="str">
        <f ca="1">IFERROR(__xludf.DUMMYFUNCTION("""COMPUTED_VALUE"""),"")</f>
        <v/>
      </c>
      <c r="F819" s="54" t="str">
        <f ca="1">IFERROR(__xludf.DUMMYFUNCTION("""COMPUTED_VALUE"""),"")</f>
        <v/>
      </c>
      <c r="G819" s="38" t="str">
        <f ca="1">IFERROR(__xludf.DUMMYFUNCTION("""COMPUTED_VALUE"""),"")</f>
        <v/>
      </c>
      <c r="H819" s="38" t="str">
        <f ca="1">IFERROR(__xludf.DUMMYFUNCTION("""COMPUTED_VALUE"""),"")</f>
        <v/>
      </c>
    </row>
    <row r="820" spans="1:8" ht="12.75">
      <c r="A820" s="36" t="str">
        <f ca="1">IFERROR(__xludf.DUMMYFUNCTION("""COMPUTED_VALUE"""),"")</f>
        <v/>
      </c>
      <c r="B820" s="38"/>
      <c r="C820" s="54" t="str">
        <f ca="1">IFERROR(__xludf.DUMMYFUNCTION("""COMPUTED_VALUE"""),"")</f>
        <v/>
      </c>
      <c r="D820" s="54" t="str">
        <f ca="1">IFERROR(__xludf.DUMMYFUNCTION("""COMPUTED_VALUE"""),"")</f>
        <v/>
      </c>
      <c r="E820" s="55" t="str">
        <f ca="1">IFERROR(__xludf.DUMMYFUNCTION("""COMPUTED_VALUE"""),"")</f>
        <v/>
      </c>
      <c r="F820" s="54" t="str">
        <f ca="1">IFERROR(__xludf.DUMMYFUNCTION("""COMPUTED_VALUE"""),"")</f>
        <v/>
      </c>
      <c r="G820" s="38" t="str">
        <f ca="1">IFERROR(__xludf.DUMMYFUNCTION("""COMPUTED_VALUE"""),"")</f>
        <v/>
      </c>
      <c r="H820" s="38" t="str">
        <f ca="1">IFERROR(__xludf.DUMMYFUNCTION("""COMPUTED_VALUE"""),"")</f>
        <v/>
      </c>
    </row>
    <row r="821" spans="1:8" ht="12.75">
      <c r="A821" s="36" t="str">
        <f ca="1">IFERROR(__xludf.DUMMYFUNCTION("""COMPUTED_VALUE"""),"")</f>
        <v/>
      </c>
      <c r="B821" s="38"/>
      <c r="C821" s="54" t="str">
        <f ca="1">IFERROR(__xludf.DUMMYFUNCTION("""COMPUTED_VALUE"""),"")</f>
        <v/>
      </c>
      <c r="D821" s="54" t="str">
        <f ca="1">IFERROR(__xludf.DUMMYFUNCTION("""COMPUTED_VALUE"""),"")</f>
        <v/>
      </c>
      <c r="E821" s="55" t="str">
        <f ca="1">IFERROR(__xludf.DUMMYFUNCTION("""COMPUTED_VALUE"""),"")</f>
        <v/>
      </c>
      <c r="F821" s="54" t="str">
        <f ca="1">IFERROR(__xludf.DUMMYFUNCTION("""COMPUTED_VALUE"""),"")</f>
        <v/>
      </c>
      <c r="G821" s="38" t="str">
        <f ca="1">IFERROR(__xludf.DUMMYFUNCTION("""COMPUTED_VALUE"""),"")</f>
        <v/>
      </c>
      <c r="H821" s="38" t="str">
        <f ca="1">IFERROR(__xludf.DUMMYFUNCTION("""COMPUTED_VALUE"""),"")</f>
        <v/>
      </c>
    </row>
    <row r="822" spans="1:8" ht="12.75">
      <c r="A822" s="36" t="str">
        <f ca="1">IFERROR(__xludf.DUMMYFUNCTION("""COMPUTED_VALUE"""),"")</f>
        <v/>
      </c>
      <c r="B822" s="38"/>
      <c r="C822" s="54" t="str">
        <f ca="1">IFERROR(__xludf.DUMMYFUNCTION("""COMPUTED_VALUE"""),"")</f>
        <v/>
      </c>
      <c r="D822" s="54" t="str">
        <f ca="1">IFERROR(__xludf.DUMMYFUNCTION("""COMPUTED_VALUE"""),"")</f>
        <v/>
      </c>
      <c r="E822" s="55" t="str">
        <f ca="1">IFERROR(__xludf.DUMMYFUNCTION("""COMPUTED_VALUE"""),"")</f>
        <v/>
      </c>
      <c r="F822" s="54" t="str">
        <f ca="1">IFERROR(__xludf.DUMMYFUNCTION("""COMPUTED_VALUE"""),"")</f>
        <v/>
      </c>
      <c r="G822" s="38" t="str">
        <f ca="1">IFERROR(__xludf.DUMMYFUNCTION("""COMPUTED_VALUE"""),"")</f>
        <v/>
      </c>
      <c r="H822" s="38" t="str">
        <f ca="1">IFERROR(__xludf.DUMMYFUNCTION("""COMPUTED_VALUE"""),"")</f>
        <v/>
      </c>
    </row>
    <row r="823" spans="1:8" ht="12.75">
      <c r="A823" s="36" t="str">
        <f ca="1">IFERROR(__xludf.DUMMYFUNCTION("""COMPUTED_VALUE"""),"")</f>
        <v/>
      </c>
      <c r="B823" s="38"/>
      <c r="C823" s="54" t="str">
        <f ca="1">IFERROR(__xludf.DUMMYFUNCTION("""COMPUTED_VALUE"""),"")</f>
        <v/>
      </c>
      <c r="D823" s="54" t="str">
        <f ca="1">IFERROR(__xludf.DUMMYFUNCTION("""COMPUTED_VALUE"""),"")</f>
        <v/>
      </c>
      <c r="E823" s="55" t="str">
        <f ca="1">IFERROR(__xludf.DUMMYFUNCTION("""COMPUTED_VALUE"""),"")</f>
        <v/>
      </c>
      <c r="F823" s="54" t="str">
        <f ca="1">IFERROR(__xludf.DUMMYFUNCTION("""COMPUTED_VALUE"""),"")</f>
        <v/>
      </c>
      <c r="G823" s="38" t="str">
        <f ca="1">IFERROR(__xludf.DUMMYFUNCTION("""COMPUTED_VALUE"""),"")</f>
        <v/>
      </c>
      <c r="H823" s="38" t="str">
        <f ca="1">IFERROR(__xludf.DUMMYFUNCTION("""COMPUTED_VALUE"""),"")</f>
        <v/>
      </c>
    </row>
    <row r="824" spans="1:8" ht="12.75">
      <c r="A824" s="36" t="str">
        <f ca="1">IFERROR(__xludf.DUMMYFUNCTION("""COMPUTED_VALUE"""),"")</f>
        <v/>
      </c>
      <c r="B824" s="38"/>
      <c r="C824" s="54" t="str">
        <f ca="1">IFERROR(__xludf.DUMMYFUNCTION("""COMPUTED_VALUE"""),"")</f>
        <v/>
      </c>
      <c r="D824" s="54" t="str">
        <f ca="1">IFERROR(__xludf.DUMMYFUNCTION("""COMPUTED_VALUE"""),"")</f>
        <v/>
      </c>
      <c r="E824" s="55" t="str">
        <f ca="1">IFERROR(__xludf.DUMMYFUNCTION("""COMPUTED_VALUE"""),"")</f>
        <v/>
      </c>
      <c r="F824" s="54" t="str">
        <f ca="1">IFERROR(__xludf.DUMMYFUNCTION("""COMPUTED_VALUE"""),"")</f>
        <v/>
      </c>
      <c r="G824" s="38" t="str">
        <f ca="1">IFERROR(__xludf.DUMMYFUNCTION("""COMPUTED_VALUE"""),"")</f>
        <v/>
      </c>
      <c r="H824" s="38" t="str">
        <f ca="1">IFERROR(__xludf.DUMMYFUNCTION("""COMPUTED_VALUE"""),"")</f>
        <v/>
      </c>
    </row>
    <row r="825" spans="1:8" ht="12.75">
      <c r="A825" s="36" t="str">
        <f ca="1">IFERROR(__xludf.DUMMYFUNCTION("""COMPUTED_VALUE"""),"")</f>
        <v/>
      </c>
      <c r="B825" s="38"/>
      <c r="C825" s="54" t="str">
        <f ca="1">IFERROR(__xludf.DUMMYFUNCTION("""COMPUTED_VALUE"""),"")</f>
        <v/>
      </c>
      <c r="D825" s="54" t="str">
        <f ca="1">IFERROR(__xludf.DUMMYFUNCTION("""COMPUTED_VALUE"""),"")</f>
        <v/>
      </c>
      <c r="E825" s="55" t="str">
        <f ca="1">IFERROR(__xludf.DUMMYFUNCTION("""COMPUTED_VALUE"""),"")</f>
        <v/>
      </c>
      <c r="F825" s="54" t="str">
        <f ca="1">IFERROR(__xludf.DUMMYFUNCTION("""COMPUTED_VALUE"""),"")</f>
        <v/>
      </c>
      <c r="G825" s="38" t="str">
        <f ca="1">IFERROR(__xludf.DUMMYFUNCTION("""COMPUTED_VALUE"""),"")</f>
        <v/>
      </c>
      <c r="H825" s="38" t="str">
        <f ca="1">IFERROR(__xludf.DUMMYFUNCTION("""COMPUTED_VALUE"""),"")</f>
        <v/>
      </c>
    </row>
    <row r="826" spans="1:8" ht="12.75">
      <c r="A826" s="36" t="str">
        <f ca="1">IFERROR(__xludf.DUMMYFUNCTION("""COMPUTED_VALUE"""),"")</f>
        <v/>
      </c>
      <c r="B826" s="38"/>
      <c r="C826" s="54" t="str">
        <f ca="1">IFERROR(__xludf.DUMMYFUNCTION("""COMPUTED_VALUE"""),"")</f>
        <v/>
      </c>
      <c r="D826" s="54" t="str">
        <f ca="1">IFERROR(__xludf.DUMMYFUNCTION("""COMPUTED_VALUE"""),"")</f>
        <v/>
      </c>
      <c r="E826" s="55" t="str">
        <f ca="1">IFERROR(__xludf.DUMMYFUNCTION("""COMPUTED_VALUE"""),"")</f>
        <v/>
      </c>
      <c r="F826" s="54" t="str">
        <f ca="1">IFERROR(__xludf.DUMMYFUNCTION("""COMPUTED_VALUE"""),"")</f>
        <v/>
      </c>
      <c r="G826" s="38" t="str">
        <f ca="1">IFERROR(__xludf.DUMMYFUNCTION("""COMPUTED_VALUE"""),"")</f>
        <v/>
      </c>
      <c r="H826" s="38" t="str">
        <f ca="1">IFERROR(__xludf.DUMMYFUNCTION("""COMPUTED_VALUE"""),"")</f>
        <v/>
      </c>
    </row>
    <row r="827" spans="1:8" ht="12.75">
      <c r="A827" s="36" t="str">
        <f ca="1">IFERROR(__xludf.DUMMYFUNCTION("""COMPUTED_VALUE"""),"")</f>
        <v/>
      </c>
      <c r="B827" s="38"/>
      <c r="C827" s="54" t="str">
        <f ca="1">IFERROR(__xludf.DUMMYFUNCTION("""COMPUTED_VALUE"""),"")</f>
        <v/>
      </c>
      <c r="D827" s="54" t="str">
        <f ca="1">IFERROR(__xludf.DUMMYFUNCTION("""COMPUTED_VALUE"""),"")</f>
        <v/>
      </c>
      <c r="E827" s="55" t="str">
        <f ca="1">IFERROR(__xludf.DUMMYFUNCTION("""COMPUTED_VALUE"""),"")</f>
        <v/>
      </c>
      <c r="F827" s="54" t="str">
        <f ca="1">IFERROR(__xludf.DUMMYFUNCTION("""COMPUTED_VALUE"""),"")</f>
        <v/>
      </c>
      <c r="G827" s="38" t="str">
        <f ca="1">IFERROR(__xludf.DUMMYFUNCTION("""COMPUTED_VALUE"""),"")</f>
        <v/>
      </c>
      <c r="H827" s="38" t="str">
        <f ca="1">IFERROR(__xludf.DUMMYFUNCTION("""COMPUTED_VALUE"""),"")</f>
        <v/>
      </c>
    </row>
    <row r="828" spans="1:8" ht="12.75">
      <c r="A828" s="36" t="str">
        <f ca="1">IFERROR(__xludf.DUMMYFUNCTION("""COMPUTED_VALUE"""),"")</f>
        <v/>
      </c>
      <c r="B828" s="38"/>
      <c r="C828" s="54" t="str">
        <f ca="1">IFERROR(__xludf.DUMMYFUNCTION("""COMPUTED_VALUE"""),"")</f>
        <v/>
      </c>
      <c r="D828" s="54" t="str">
        <f ca="1">IFERROR(__xludf.DUMMYFUNCTION("""COMPUTED_VALUE"""),"")</f>
        <v/>
      </c>
      <c r="E828" s="55" t="str">
        <f ca="1">IFERROR(__xludf.DUMMYFUNCTION("""COMPUTED_VALUE"""),"")</f>
        <v/>
      </c>
      <c r="F828" s="54" t="str">
        <f ca="1">IFERROR(__xludf.DUMMYFUNCTION("""COMPUTED_VALUE"""),"")</f>
        <v/>
      </c>
      <c r="G828" s="38" t="str">
        <f ca="1">IFERROR(__xludf.DUMMYFUNCTION("""COMPUTED_VALUE"""),"")</f>
        <v/>
      </c>
      <c r="H828" s="38" t="str">
        <f ca="1">IFERROR(__xludf.DUMMYFUNCTION("""COMPUTED_VALUE"""),"")</f>
        <v/>
      </c>
    </row>
    <row r="829" spans="1:8" ht="12.75">
      <c r="A829" s="36" t="str">
        <f ca="1">IFERROR(__xludf.DUMMYFUNCTION("""COMPUTED_VALUE"""),"")</f>
        <v/>
      </c>
      <c r="B829" s="38"/>
      <c r="C829" s="54" t="str">
        <f ca="1">IFERROR(__xludf.DUMMYFUNCTION("""COMPUTED_VALUE"""),"")</f>
        <v/>
      </c>
      <c r="D829" s="54" t="str">
        <f ca="1">IFERROR(__xludf.DUMMYFUNCTION("""COMPUTED_VALUE"""),"")</f>
        <v/>
      </c>
      <c r="E829" s="55" t="str">
        <f ca="1">IFERROR(__xludf.DUMMYFUNCTION("""COMPUTED_VALUE"""),"")</f>
        <v/>
      </c>
      <c r="F829" s="54" t="str">
        <f ca="1">IFERROR(__xludf.DUMMYFUNCTION("""COMPUTED_VALUE"""),"")</f>
        <v/>
      </c>
      <c r="G829" s="38" t="str">
        <f ca="1">IFERROR(__xludf.DUMMYFUNCTION("""COMPUTED_VALUE"""),"")</f>
        <v/>
      </c>
      <c r="H829" s="38" t="str">
        <f ca="1">IFERROR(__xludf.DUMMYFUNCTION("""COMPUTED_VALUE"""),"")</f>
        <v/>
      </c>
    </row>
    <row r="830" spans="1:8" ht="12.75">
      <c r="A830" s="36" t="str">
        <f ca="1">IFERROR(__xludf.DUMMYFUNCTION("""COMPUTED_VALUE"""),"")</f>
        <v/>
      </c>
      <c r="B830" s="38"/>
      <c r="C830" s="54" t="str">
        <f ca="1">IFERROR(__xludf.DUMMYFUNCTION("""COMPUTED_VALUE"""),"")</f>
        <v/>
      </c>
      <c r="D830" s="54" t="str">
        <f ca="1">IFERROR(__xludf.DUMMYFUNCTION("""COMPUTED_VALUE"""),"")</f>
        <v/>
      </c>
      <c r="E830" s="55" t="str">
        <f ca="1">IFERROR(__xludf.DUMMYFUNCTION("""COMPUTED_VALUE"""),"")</f>
        <v/>
      </c>
      <c r="F830" s="54" t="str">
        <f ca="1">IFERROR(__xludf.DUMMYFUNCTION("""COMPUTED_VALUE"""),"")</f>
        <v/>
      </c>
      <c r="G830" s="38" t="str">
        <f ca="1">IFERROR(__xludf.DUMMYFUNCTION("""COMPUTED_VALUE"""),"")</f>
        <v/>
      </c>
      <c r="H830" s="38" t="str">
        <f ca="1">IFERROR(__xludf.DUMMYFUNCTION("""COMPUTED_VALUE"""),"")</f>
        <v/>
      </c>
    </row>
    <row r="831" spans="1:8" ht="12.75">
      <c r="A831" s="36" t="str">
        <f ca="1">IFERROR(__xludf.DUMMYFUNCTION("""COMPUTED_VALUE"""),"")</f>
        <v/>
      </c>
      <c r="B831" s="38"/>
      <c r="C831" s="54" t="str">
        <f ca="1">IFERROR(__xludf.DUMMYFUNCTION("""COMPUTED_VALUE"""),"")</f>
        <v/>
      </c>
      <c r="D831" s="54" t="str">
        <f ca="1">IFERROR(__xludf.DUMMYFUNCTION("""COMPUTED_VALUE"""),"")</f>
        <v/>
      </c>
      <c r="E831" s="55" t="str">
        <f ca="1">IFERROR(__xludf.DUMMYFUNCTION("""COMPUTED_VALUE"""),"")</f>
        <v/>
      </c>
      <c r="F831" s="54" t="str">
        <f ca="1">IFERROR(__xludf.DUMMYFUNCTION("""COMPUTED_VALUE"""),"")</f>
        <v/>
      </c>
      <c r="G831" s="38" t="str">
        <f ca="1">IFERROR(__xludf.DUMMYFUNCTION("""COMPUTED_VALUE"""),"")</f>
        <v/>
      </c>
      <c r="H831" s="38" t="str">
        <f ca="1">IFERROR(__xludf.DUMMYFUNCTION("""COMPUTED_VALUE"""),"")</f>
        <v/>
      </c>
    </row>
    <row r="832" spans="1:8" ht="12.75">
      <c r="A832" s="36" t="str">
        <f ca="1">IFERROR(__xludf.DUMMYFUNCTION("""COMPUTED_VALUE"""),"")</f>
        <v/>
      </c>
      <c r="B832" s="38"/>
      <c r="C832" s="54" t="str">
        <f ca="1">IFERROR(__xludf.DUMMYFUNCTION("""COMPUTED_VALUE"""),"")</f>
        <v/>
      </c>
      <c r="D832" s="54" t="str">
        <f ca="1">IFERROR(__xludf.DUMMYFUNCTION("""COMPUTED_VALUE"""),"")</f>
        <v/>
      </c>
      <c r="E832" s="55" t="str">
        <f ca="1">IFERROR(__xludf.DUMMYFUNCTION("""COMPUTED_VALUE"""),"")</f>
        <v/>
      </c>
      <c r="F832" s="54" t="str">
        <f ca="1">IFERROR(__xludf.DUMMYFUNCTION("""COMPUTED_VALUE"""),"")</f>
        <v/>
      </c>
      <c r="G832" s="38" t="str">
        <f ca="1">IFERROR(__xludf.DUMMYFUNCTION("""COMPUTED_VALUE"""),"")</f>
        <v/>
      </c>
      <c r="H832" s="38" t="str">
        <f ca="1">IFERROR(__xludf.DUMMYFUNCTION("""COMPUTED_VALUE"""),"")</f>
        <v/>
      </c>
    </row>
    <row r="833" spans="1:8" ht="12.75">
      <c r="A833" s="36" t="str">
        <f ca="1">IFERROR(__xludf.DUMMYFUNCTION("""COMPUTED_VALUE"""),"")</f>
        <v/>
      </c>
      <c r="B833" s="38"/>
      <c r="C833" s="54" t="str">
        <f ca="1">IFERROR(__xludf.DUMMYFUNCTION("""COMPUTED_VALUE"""),"")</f>
        <v/>
      </c>
      <c r="D833" s="54" t="str">
        <f ca="1">IFERROR(__xludf.DUMMYFUNCTION("""COMPUTED_VALUE"""),"")</f>
        <v/>
      </c>
      <c r="E833" s="55" t="str">
        <f ca="1">IFERROR(__xludf.DUMMYFUNCTION("""COMPUTED_VALUE"""),"")</f>
        <v/>
      </c>
      <c r="F833" s="54" t="str">
        <f ca="1">IFERROR(__xludf.DUMMYFUNCTION("""COMPUTED_VALUE"""),"")</f>
        <v/>
      </c>
      <c r="G833" s="38" t="str">
        <f ca="1">IFERROR(__xludf.DUMMYFUNCTION("""COMPUTED_VALUE"""),"")</f>
        <v/>
      </c>
      <c r="H833" s="38" t="str">
        <f ca="1">IFERROR(__xludf.DUMMYFUNCTION("""COMPUTED_VALUE"""),"")</f>
        <v/>
      </c>
    </row>
    <row r="834" spans="1:8" ht="12.75">
      <c r="A834" s="36" t="str">
        <f ca="1">IFERROR(__xludf.DUMMYFUNCTION("""COMPUTED_VALUE"""),"")</f>
        <v/>
      </c>
      <c r="B834" s="38"/>
      <c r="C834" s="54" t="str">
        <f ca="1">IFERROR(__xludf.DUMMYFUNCTION("""COMPUTED_VALUE"""),"")</f>
        <v/>
      </c>
      <c r="D834" s="54" t="str">
        <f ca="1">IFERROR(__xludf.DUMMYFUNCTION("""COMPUTED_VALUE"""),"")</f>
        <v/>
      </c>
      <c r="E834" s="55" t="str">
        <f ca="1">IFERROR(__xludf.DUMMYFUNCTION("""COMPUTED_VALUE"""),"")</f>
        <v/>
      </c>
      <c r="F834" s="54" t="str">
        <f ca="1">IFERROR(__xludf.DUMMYFUNCTION("""COMPUTED_VALUE"""),"")</f>
        <v/>
      </c>
      <c r="G834" s="38" t="str">
        <f ca="1">IFERROR(__xludf.DUMMYFUNCTION("""COMPUTED_VALUE"""),"")</f>
        <v/>
      </c>
      <c r="H834" s="38" t="str">
        <f ca="1">IFERROR(__xludf.DUMMYFUNCTION("""COMPUTED_VALUE"""),"")</f>
        <v/>
      </c>
    </row>
    <row r="835" spans="1:8" ht="12.75">
      <c r="A835" s="36" t="str">
        <f ca="1">IFERROR(__xludf.DUMMYFUNCTION("""COMPUTED_VALUE"""),"")</f>
        <v/>
      </c>
      <c r="B835" s="38"/>
      <c r="C835" s="54" t="str">
        <f ca="1">IFERROR(__xludf.DUMMYFUNCTION("""COMPUTED_VALUE"""),"")</f>
        <v/>
      </c>
      <c r="D835" s="54" t="str">
        <f ca="1">IFERROR(__xludf.DUMMYFUNCTION("""COMPUTED_VALUE"""),"")</f>
        <v/>
      </c>
      <c r="E835" s="55" t="str">
        <f ca="1">IFERROR(__xludf.DUMMYFUNCTION("""COMPUTED_VALUE"""),"")</f>
        <v/>
      </c>
      <c r="F835" s="54" t="str">
        <f ca="1">IFERROR(__xludf.DUMMYFUNCTION("""COMPUTED_VALUE"""),"")</f>
        <v/>
      </c>
      <c r="G835" s="38" t="str">
        <f ca="1">IFERROR(__xludf.DUMMYFUNCTION("""COMPUTED_VALUE"""),"")</f>
        <v/>
      </c>
      <c r="H835" s="38" t="str">
        <f ca="1">IFERROR(__xludf.DUMMYFUNCTION("""COMPUTED_VALUE"""),"")</f>
        <v/>
      </c>
    </row>
    <row r="836" spans="1:8" ht="12.75">
      <c r="A836" s="36" t="str">
        <f ca="1">IFERROR(__xludf.DUMMYFUNCTION("""COMPUTED_VALUE"""),"")</f>
        <v/>
      </c>
      <c r="B836" s="38"/>
      <c r="C836" s="54" t="str">
        <f ca="1">IFERROR(__xludf.DUMMYFUNCTION("""COMPUTED_VALUE"""),"")</f>
        <v/>
      </c>
      <c r="D836" s="54" t="str">
        <f ca="1">IFERROR(__xludf.DUMMYFUNCTION("""COMPUTED_VALUE"""),"")</f>
        <v/>
      </c>
      <c r="E836" s="55" t="str">
        <f ca="1">IFERROR(__xludf.DUMMYFUNCTION("""COMPUTED_VALUE"""),"")</f>
        <v/>
      </c>
      <c r="F836" s="54" t="str">
        <f ca="1">IFERROR(__xludf.DUMMYFUNCTION("""COMPUTED_VALUE"""),"")</f>
        <v/>
      </c>
      <c r="G836" s="38" t="str">
        <f ca="1">IFERROR(__xludf.DUMMYFUNCTION("""COMPUTED_VALUE"""),"")</f>
        <v/>
      </c>
      <c r="H836" s="38" t="str">
        <f ca="1">IFERROR(__xludf.DUMMYFUNCTION("""COMPUTED_VALUE"""),"")</f>
        <v/>
      </c>
    </row>
    <row r="837" spans="1:8" ht="12.75">
      <c r="A837" s="36" t="str">
        <f ca="1">IFERROR(__xludf.DUMMYFUNCTION("""COMPUTED_VALUE"""),"")</f>
        <v/>
      </c>
      <c r="B837" s="38"/>
      <c r="C837" s="54" t="str">
        <f ca="1">IFERROR(__xludf.DUMMYFUNCTION("""COMPUTED_VALUE"""),"")</f>
        <v/>
      </c>
      <c r="D837" s="54" t="str">
        <f ca="1">IFERROR(__xludf.DUMMYFUNCTION("""COMPUTED_VALUE"""),"")</f>
        <v/>
      </c>
      <c r="E837" s="55" t="str">
        <f ca="1">IFERROR(__xludf.DUMMYFUNCTION("""COMPUTED_VALUE"""),"")</f>
        <v/>
      </c>
      <c r="F837" s="54" t="str">
        <f ca="1">IFERROR(__xludf.DUMMYFUNCTION("""COMPUTED_VALUE"""),"")</f>
        <v/>
      </c>
      <c r="G837" s="38" t="str">
        <f ca="1">IFERROR(__xludf.DUMMYFUNCTION("""COMPUTED_VALUE"""),"")</f>
        <v/>
      </c>
      <c r="H837" s="38" t="str">
        <f ca="1">IFERROR(__xludf.DUMMYFUNCTION("""COMPUTED_VALUE"""),"")</f>
        <v/>
      </c>
    </row>
    <row r="838" spans="1:8" ht="12.75">
      <c r="A838" s="36" t="str">
        <f ca="1">IFERROR(__xludf.DUMMYFUNCTION("""COMPUTED_VALUE"""),"")</f>
        <v/>
      </c>
      <c r="B838" s="38"/>
      <c r="C838" s="54" t="str">
        <f ca="1">IFERROR(__xludf.DUMMYFUNCTION("""COMPUTED_VALUE"""),"")</f>
        <v/>
      </c>
      <c r="D838" s="54" t="str">
        <f ca="1">IFERROR(__xludf.DUMMYFUNCTION("""COMPUTED_VALUE"""),"")</f>
        <v/>
      </c>
      <c r="E838" s="55" t="str">
        <f ca="1">IFERROR(__xludf.DUMMYFUNCTION("""COMPUTED_VALUE"""),"")</f>
        <v/>
      </c>
      <c r="F838" s="54" t="str">
        <f ca="1">IFERROR(__xludf.DUMMYFUNCTION("""COMPUTED_VALUE"""),"")</f>
        <v/>
      </c>
      <c r="G838" s="38" t="str">
        <f ca="1">IFERROR(__xludf.DUMMYFUNCTION("""COMPUTED_VALUE"""),"")</f>
        <v/>
      </c>
      <c r="H838" s="38" t="str">
        <f ca="1">IFERROR(__xludf.DUMMYFUNCTION("""COMPUTED_VALUE"""),"")</f>
        <v/>
      </c>
    </row>
    <row r="839" spans="1:8" ht="12.75">
      <c r="A839" s="36" t="str">
        <f ca="1">IFERROR(__xludf.DUMMYFUNCTION("""COMPUTED_VALUE"""),"")</f>
        <v/>
      </c>
      <c r="B839" s="38"/>
      <c r="C839" s="54" t="str">
        <f ca="1">IFERROR(__xludf.DUMMYFUNCTION("""COMPUTED_VALUE"""),"")</f>
        <v/>
      </c>
      <c r="D839" s="54" t="str">
        <f ca="1">IFERROR(__xludf.DUMMYFUNCTION("""COMPUTED_VALUE"""),"")</f>
        <v/>
      </c>
      <c r="E839" s="55" t="str">
        <f ca="1">IFERROR(__xludf.DUMMYFUNCTION("""COMPUTED_VALUE"""),"")</f>
        <v/>
      </c>
      <c r="F839" s="54" t="str">
        <f ca="1">IFERROR(__xludf.DUMMYFUNCTION("""COMPUTED_VALUE"""),"")</f>
        <v/>
      </c>
      <c r="G839" s="38" t="str">
        <f ca="1">IFERROR(__xludf.DUMMYFUNCTION("""COMPUTED_VALUE"""),"")</f>
        <v/>
      </c>
      <c r="H839" s="38" t="str">
        <f ca="1">IFERROR(__xludf.DUMMYFUNCTION("""COMPUTED_VALUE"""),"")</f>
        <v/>
      </c>
    </row>
    <row r="840" spans="1:8" ht="12.75">
      <c r="A840" s="36" t="str">
        <f ca="1">IFERROR(__xludf.DUMMYFUNCTION("""COMPUTED_VALUE"""),"")</f>
        <v/>
      </c>
      <c r="B840" s="38"/>
      <c r="C840" s="54" t="str">
        <f ca="1">IFERROR(__xludf.DUMMYFUNCTION("""COMPUTED_VALUE"""),"")</f>
        <v/>
      </c>
      <c r="D840" s="54" t="str">
        <f ca="1">IFERROR(__xludf.DUMMYFUNCTION("""COMPUTED_VALUE"""),"")</f>
        <v/>
      </c>
      <c r="E840" s="55" t="str">
        <f ca="1">IFERROR(__xludf.DUMMYFUNCTION("""COMPUTED_VALUE"""),"")</f>
        <v/>
      </c>
      <c r="F840" s="54" t="str">
        <f ca="1">IFERROR(__xludf.DUMMYFUNCTION("""COMPUTED_VALUE"""),"")</f>
        <v/>
      </c>
      <c r="G840" s="38" t="str">
        <f ca="1">IFERROR(__xludf.DUMMYFUNCTION("""COMPUTED_VALUE"""),"")</f>
        <v/>
      </c>
      <c r="H840" s="38" t="str">
        <f ca="1">IFERROR(__xludf.DUMMYFUNCTION("""COMPUTED_VALUE"""),"")</f>
        <v/>
      </c>
    </row>
    <row r="841" spans="1:8" ht="12.75">
      <c r="A841" s="36" t="str">
        <f ca="1">IFERROR(__xludf.DUMMYFUNCTION("""COMPUTED_VALUE"""),"")</f>
        <v/>
      </c>
      <c r="B841" s="38"/>
      <c r="C841" s="54" t="str">
        <f ca="1">IFERROR(__xludf.DUMMYFUNCTION("""COMPUTED_VALUE"""),"")</f>
        <v/>
      </c>
      <c r="D841" s="54" t="str">
        <f ca="1">IFERROR(__xludf.DUMMYFUNCTION("""COMPUTED_VALUE"""),"")</f>
        <v/>
      </c>
      <c r="E841" s="55" t="str">
        <f ca="1">IFERROR(__xludf.DUMMYFUNCTION("""COMPUTED_VALUE"""),"")</f>
        <v/>
      </c>
      <c r="F841" s="54" t="str">
        <f ca="1">IFERROR(__xludf.DUMMYFUNCTION("""COMPUTED_VALUE"""),"")</f>
        <v/>
      </c>
      <c r="G841" s="38" t="str">
        <f ca="1">IFERROR(__xludf.DUMMYFUNCTION("""COMPUTED_VALUE"""),"")</f>
        <v/>
      </c>
      <c r="H841" s="38" t="str">
        <f ca="1">IFERROR(__xludf.DUMMYFUNCTION("""COMPUTED_VALUE"""),"")</f>
        <v/>
      </c>
    </row>
    <row r="842" spans="1:8" ht="12.75">
      <c r="A842" s="36" t="str">
        <f ca="1">IFERROR(__xludf.DUMMYFUNCTION("""COMPUTED_VALUE"""),"")</f>
        <v/>
      </c>
      <c r="B842" s="38"/>
      <c r="C842" s="54" t="str">
        <f ca="1">IFERROR(__xludf.DUMMYFUNCTION("""COMPUTED_VALUE"""),"")</f>
        <v/>
      </c>
      <c r="D842" s="54" t="str">
        <f ca="1">IFERROR(__xludf.DUMMYFUNCTION("""COMPUTED_VALUE"""),"")</f>
        <v/>
      </c>
      <c r="E842" s="55" t="str">
        <f ca="1">IFERROR(__xludf.DUMMYFUNCTION("""COMPUTED_VALUE"""),"")</f>
        <v/>
      </c>
      <c r="F842" s="54" t="str">
        <f ca="1">IFERROR(__xludf.DUMMYFUNCTION("""COMPUTED_VALUE"""),"")</f>
        <v/>
      </c>
      <c r="G842" s="38" t="str">
        <f ca="1">IFERROR(__xludf.DUMMYFUNCTION("""COMPUTED_VALUE"""),"")</f>
        <v/>
      </c>
      <c r="H842" s="38" t="str">
        <f ca="1">IFERROR(__xludf.DUMMYFUNCTION("""COMPUTED_VALUE"""),"")</f>
        <v/>
      </c>
    </row>
    <row r="843" spans="1:8" ht="12.75">
      <c r="A843" s="36" t="str">
        <f ca="1">IFERROR(__xludf.DUMMYFUNCTION("""COMPUTED_VALUE"""),"")</f>
        <v/>
      </c>
      <c r="B843" s="38"/>
      <c r="C843" s="54" t="str">
        <f ca="1">IFERROR(__xludf.DUMMYFUNCTION("""COMPUTED_VALUE"""),"")</f>
        <v/>
      </c>
      <c r="D843" s="54" t="str">
        <f ca="1">IFERROR(__xludf.DUMMYFUNCTION("""COMPUTED_VALUE"""),"")</f>
        <v/>
      </c>
      <c r="E843" s="55" t="str">
        <f ca="1">IFERROR(__xludf.DUMMYFUNCTION("""COMPUTED_VALUE"""),"")</f>
        <v/>
      </c>
      <c r="F843" s="54" t="str">
        <f ca="1">IFERROR(__xludf.DUMMYFUNCTION("""COMPUTED_VALUE"""),"")</f>
        <v/>
      </c>
      <c r="G843" s="38" t="str">
        <f ca="1">IFERROR(__xludf.DUMMYFUNCTION("""COMPUTED_VALUE"""),"")</f>
        <v/>
      </c>
      <c r="H843" s="38" t="str">
        <f ca="1">IFERROR(__xludf.DUMMYFUNCTION("""COMPUTED_VALUE"""),"")</f>
        <v/>
      </c>
    </row>
    <row r="844" spans="1:8" ht="12.75">
      <c r="A844" s="36" t="str">
        <f ca="1">IFERROR(__xludf.DUMMYFUNCTION("""COMPUTED_VALUE"""),"")</f>
        <v/>
      </c>
      <c r="B844" s="38"/>
      <c r="C844" s="54" t="str">
        <f ca="1">IFERROR(__xludf.DUMMYFUNCTION("""COMPUTED_VALUE"""),"")</f>
        <v/>
      </c>
      <c r="D844" s="54" t="str">
        <f ca="1">IFERROR(__xludf.DUMMYFUNCTION("""COMPUTED_VALUE"""),"")</f>
        <v/>
      </c>
      <c r="E844" s="55" t="str">
        <f ca="1">IFERROR(__xludf.DUMMYFUNCTION("""COMPUTED_VALUE"""),"")</f>
        <v/>
      </c>
      <c r="F844" s="54" t="str">
        <f ca="1">IFERROR(__xludf.DUMMYFUNCTION("""COMPUTED_VALUE"""),"")</f>
        <v/>
      </c>
      <c r="G844" s="38" t="str">
        <f ca="1">IFERROR(__xludf.DUMMYFUNCTION("""COMPUTED_VALUE"""),"")</f>
        <v/>
      </c>
      <c r="H844" s="38" t="str">
        <f ca="1">IFERROR(__xludf.DUMMYFUNCTION("""COMPUTED_VALUE"""),"")</f>
        <v/>
      </c>
    </row>
    <row r="845" spans="1:8" ht="12.75">
      <c r="A845" s="36" t="str">
        <f ca="1">IFERROR(__xludf.DUMMYFUNCTION("""COMPUTED_VALUE"""),"")</f>
        <v/>
      </c>
      <c r="B845" s="38"/>
      <c r="C845" s="54" t="str">
        <f ca="1">IFERROR(__xludf.DUMMYFUNCTION("""COMPUTED_VALUE"""),"")</f>
        <v/>
      </c>
      <c r="D845" s="54" t="str">
        <f ca="1">IFERROR(__xludf.DUMMYFUNCTION("""COMPUTED_VALUE"""),"")</f>
        <v/>
      </c>
      <c r="E845" s="55" t="str">
        <f ca="1">IFERROR(__xludf.DUMMYFUNCTION("""COMPUTED_VALUE"""),"")</f>
        <v/>
      </c>
      <c r="F845" s="54" t="str">
        <f ca="1">IFERROR(__xludf.DUMMYFUNCTION("""COMPUTED_VALUE"""),"")</f>
        <v/>
      </c>
      <c r="G845" s="38" t="str">
        <f ca="1">IFERROR(__xludf.DUMMYFUNCTION("""COMPUTED_VALUE"""),"")</f>
        <v/>
      </c>
      <c r="H845" s="38" t="str">
        <f ca="1">IFERROR(__xludf.DUMMYFUNCTION("""COMPUTED_VALUE"""),"")</f>
        <v/>
      </c>
    </row>
    <row r="846" spans="1:8" ht="12.75">
      <c r="A846" s="36" t="str">
        <f ca="1">IFERROR(__xludf.DUMMYFUNCTION("""COMPUTED_VALUE"""),"")</f>
        <v/>
      </c>
      <c r="B846" s="38"/>
      <c r="C846" s="54" t="str">
        <f ca="1">IFERROR(__xludf.DUMMYFUNCTION("""COMPUTED_VALUE"""),"")</f>
        <v/>
      </c>
      <c r="D846" s="54" t="str">
        <f ca="1">IFERROR(__xludf.DUMMYFUNCTION("""COMPUTED_VALUE"""),"")</f>
        <v/>
      </c>
      <c r="E846" s="55" t="str">
        <f ca="1">IFERROR(__xludf.DUMMYFUNCTION("""COMPUTED_VALUE"""),"")</f>
        <v/>
      </c>
      <c r="F846" s="54" t="str">
        <f ca="1">IFERROR(__xludf.DUMMYFUNCTION("""COMPUTED_VALUE"""),"")</f>
        <v/>
      </c>
      <c r="G846" s="38" t="str">
        <f ca="1">IFERROR(__xludf.DUMMYFUNCTION("""COMPUTED_VALUE"""),"")</f>
        <v/>
      </c>
      <c r="H846" s="38" t="str">
        <f ca="1">IFERROR(__xludf.DUMMYFUNCTION("""COMPUTED_VALUE"""),"")</f>
        <v/>
      </c>
    </row>
    <row r="847" spans="1:8" ht="12.75">
      <c r="A847" s="36" t="str">
        <f ca="1">IFERROR(__xludf.DUMMYFUNCTION("""COMPUTED_VALUE"""),"")</f>
        <v/>
      </c>
      <c r="B847" s="38"/>
      <c r="C847" s="54" t="str">
        <f ca="1">IFERROR(__xludf.DUMMYFUNCTION("""COMPUTED_VALUE"""),"")</f>
        <v/>
      </c>
      <c r="D847" s="54" t="str">
        <f ca="1">IFERROR(__xludf.DUMMYFUNCTION("""COMPUTED_VALUE"""),"")</f>
        <v/>
      </c>
      <c r="E847" s="55" t="str">
        <f ca="1">IFERROR(__xludf.DUMMYFUNCTION("""COMPUTED_VALUE"""),"")</f>
        <v/>
      </c>
      <c r="F847" s="54" t="str">
        <f ca="1">IFERROR(__xludf.DUMMYFUNCTION("""COMPUTED_VALUE"""),"")</f>
        <v/>
      </c>
      <c r="G847" s="38" t="str">
        <f ca="1">IFERROR(__xludf.DUMMYFUNCTION("""COMPUTED_VALUE"""),"")</f>
        <v/>
      </c>
      <c r="H847" s="38" t="str">
        <f ca="1">IFERROR(__xludf.DUMMYFUNCTION("""COMPUTED_VALUE"""),"")</f>
        <v/>
      </c>
    </row>
    <row r="848" spans="1:8" ht="12.75">
      <c r="A848" s="36" t="str">
        <f ca="1">IFERROR(__xludf.DUMMYFUNCTION("""COMPUTED_VALUE"""),"")</f>
        <v/>
      </c>
      <c r="B848" s="38"/>
      <c r="C848" s="54" t="str">
        <f ca="1">IFERROR(__xludf.DUMMYFUNCTION("""COMPUTED_VALUE"""),"")</f>
        <v/>
      </c>
      <c r="D848" s="54" t="str">
        <f ca="1">IFERROR(__xludf.DUMMYFUNCTION("""COMPUTED_VALUE"""),"")</f>
        <v/>
      </c>
      <c r="E848" s="55" t="str">
        <f ca="1">IFERROR(__xludf.DUMMYFUNCTION("""COMPUTED_VALUE"""),"")</f>
        <v/>
      </c>
      <c r="F848" s="54" t="str">
        <f ca="1">IFERROR(__xludf.DUMMYFUNCTION("""COMPUTED_VALUE"""),"")</f>
        <v/>
      </c>
      <c r="G848" s="38" t="str">
        <f ca="1">IFERROR(__xludf.DUMMYFUNCTION("""COMPUTED_VALUE"""),"")</f>
        <v/>
      </c>
      <c r="H848" s="38" t="str">
        <f ca="1">IFERROR(__xludf.DUMMYFUNCTION("""COMPUTED_VALUE"""),"")</f>
        <v/>
      </c>
    </row>
    <row r="849" spans="1:8" ht="12.75">
      <c r="A849" s="36" t="str">
        <f ca="1">IFERROR(__xludf.DUMMYFUNCTION("""COMPUTED_VALUE"""),"")</f>
        <v/>
      </c>
      <c r="B849" s="38"/>
      <c r="C849" s="54" t="str">
        <f ca="1">IFERROR(__xludf.DUMMYFUNCTION("""COMPUTED_VALUE"""),"")</f>
        <v/>
      </c>
      <c r="D849" s="54" t="str">
        <f ca="1">IFERROR(__xludf.DUMMYFUNCTION("""COMPUTED_VALUE"""),"")</f>
        <v/>
      </c>
      <c r="E849" s="55" t="str">
        <f ca="1">IFERROR(__xludf.DUMMYFUNCTION("""COMPUTED_VALUE"""),"")</f>
        <v/>
      </c>
      <c r="F849" s="54" t="str">
        <f ca="1">IFERROR(__xludf.DUMMYFUNCTION("""COMPUTED_VALUE"""),"")</f>
        <v/>
      </c>
      <c r="G849" s="38" t="str">
        <f ca="1">IFERROR(__xludf.DUMMYFUNCTION("""COMPUTED_VALUE"""),"")</f>
        <v/>
      </c>
      <c r="H849" s="38" t="str">
        <f ca="1">IFERROR(__xludf.DUMMYFUNCTION("""COMPUTED_VALUE"""),"")</f>
        <v/>
      </c>
    </row>
    <row r="850" spans="1:8" ht="12.75">
      <c r="A850" s="36" t="str">
        <f ca="1">IFERROR(__xludf.DUMMYFUNCTION("""COMPUTED_VALUE"""),"")</f>
        <v/>
      </c>
      <c r="B850" s="38"/>
      <c r="C850" s="54" t="str">
        <f ca="1">IFERROR(__xludf.DUMMYFUNCTION("""COMPUTED_VALUE"""),"")</f>
        <v/>
      </c>
      <c r="D850" s="54" t="str">
        <f ca="1">IFERROR(__xludf.DUMMYFUNCTION("""COMPUTED_VALUE"""),"")</f>
        <v/>
      </c>
      <c r="E850" s="55" t="str">
        <f ca="1">IFERROR(__xludf.DUMMYFUNCTION("""COMPUTED_VALUE"""),"")</f>
        <v/>
      </c>
      <c r="F850" s="54" t="str">
        <f ca="1">IFERROR(__xludf.DUMMYFUNCTION("""COMPUTED_VALUE"""),"")</f>
        <v/>
      </c>
      <c r="G850" s="38" t="str">
        <f ca="1">IFERROR(__xludf.DUMMYFUNCTION("""COMPUTED_VALUE"""),"")</f>
        <v/>
      </c>
      <c r="H850" s="38" t="str">
        <f ca="1">IFERROR(__xludf.DUMMYFUNCTION("""COMPUTED_VALUE"""),"")</f>
        <v/>
      </c>
    </row>
    <row r="851" spans="1:8" ht="12.75">
      <c r="A851" s="36" t="str">
        <f ca="1">IFERROR(__xludf.DUMMYFUNCTION("""COMPUTED_VALUE"""),"")</f>
        <v/>
      </c>
      <c r="B851" s="38"/>
      <c r="C851" s="54" t="str">
        <f ca="1">IFERROR(__xludf.DUMMYFUNCTION("""COMPUTED_VALUE"""),"")</f>
        <v/>
      </c>
      <c r="D851" s="54" t="str">
        <f ca="1">IFERROR(__xludf.DUMMYFUNCTION("""COMPUTED_VALUE"""),"")</f>
        <v/>
      </c>
      <c r="E851" s="55" t="str">
        <f ca="1">IFERROR(__xludf.DUMMYFUNCTION("""COMPUTED_VALUE"""),"")</f>
        <v/>
      </c>
      <c r="F851" s="54" t="str">
        <f ca="1">IFERROR(__xludf.DUMMYFUNCTION("""COMPUTED_VALUE"""),"")</f>
        <v/>
      </c>
      <c r="G851" s="38" t="str">
        <f ca="1">IFERROR(__xludf.DUMMYFUNCTION("""COMPUTED_VALUE"""),"")</f>
        <v/>
      </c>
      <c r="H851" s="38" t="str">
        <f ca="1">IFERROR(__xludf.DUMMYFUNCTION("""COMPUTED_VALUE"""),"")</f>
        <v/>
      </c>
    </row>
    <row r="852" spans="1:8" ht="12.75">
      <c r="A852" s="36" t="str">
        <f ca="1">IFERROR(__xludf.DUMMYFUNCTION("""COMPUTED_VALUE"""),"")</f>
        <v/>
      </c>
      <c r="B852" s="38"/>
      <c r="C852" s="54" t="str">
        <f ca="1">IFERROR(__xludf.DUMMYFUNCTION("""COMPUTED_VALUE"""),"")</f>
        <v/>
      </c>
      <c r="D852" s="54" t="str">
        <f ca="1">IFERROR(__xludf.DUMMYFUNCTION("""COMPUTED_VALUE"""),"")</f>
        <v/>
      </c>
      <c r="E852" s="55" t="str">
        <f ca="1">IFERROR(__xludf.DUMMYFUNCTION("""COMPUTED_VALUE"""),"")</f>
        <v/>
      </c>
      <c r="F852" s="54" t="str">
        <f ca="1">IFERROR(__xludf.DUMMYFUNCTION("""COMPUTED_VALUE"""),"")</f>
        <v/>
      </c>
      <c r="G852" s="38" t="str">
        <f ca="1">IFERROR(__xludf.DUMMYFUNCTION("""COMPUTED_VALUE"""),"")</f>
        <v/>
      </c>
      <c r="H852" s="38" t="str">
        <f ca="1">IFERROR(__xludf.DUMMYFUNCTION("""COMPUTED_VALUE"""),"")</f>
        <v/>
      </c>
    </row>
    <row r="853" spans="1:8" ht="12.75">
      <c r="A853" s="36" t="str">
        <f ca="1">IFERROR(__xludf.DUMMYFUNCTION("""COMPUTED_VALUE"""),"")</f>
        <v/>
      </c>
      <c r="B853" s="38"/>
      <c r="C853" s="54" t="str">
        <f ca="1">IFERROR(__xludf.DUMMYFUNCTION("""COMPUTED_VALUE"""),"")</f>
        <v/>
      </c>
      <c r="D853" s="54" t="str">
        <f ca="1">IFERROR(__xludf.DUMMYFUNCTION("""COMPUTED_VALUE"""),"")</f>
        <v/>
      </c>
      <c r="E853" s="55" t="str">
        <f ca="1">IFERROR(__xludf.DUMMYFUNCTION("""COMPUTED_VALUE"""),"")</f>
        <v/>
      </c>
      <c r="F853" s="54" t="str">
        <f ca="1">IFERROR(__xludf.DUMMYFUNCTION("""COMPUTED_VALUE"""),"")</f>
        <v/>
      </c>
      <c r="G853" s="38" t="str">
        <f ca="1">IFERROR(__xludf.DUMMYFUNCTION("""COMPUTED_VALUE"""),"")</f>
        <v/>
      </c>
      <c r="H853" s="38" t="str">
        <f ca="1">IFERROR(__xludf.DUMMYFUNCTION("""COMPUTED_VALUE"""),"")</f>
        <v/>
      </c>
    </row>
    <row r="854" spans="1:8" ht="12.75">
      <c r="A854" s="36" t="str">
        <f ca="1">IFERROR(__xludf.DUMMYFUNCTION("""COMPUTED_VALUE"""),"")</f>
        <v/>
      </c>
      <c r="B854" s="38"/>
      <c r="C854" s="54" t="str">
        <f ca="1">IFERROR(__xludf.DUMMYFUNCTION("""COMPUTED_VALUE"""),"")</f>
        <v/>
      </c>
      <c r="D854" s="54" t="str">
        <f ca="1">IFERROR(__xludf.DUMMYFUNCTION("""COMPUTED_VALUE"""),"")</f>
        <v/>
      </c>
      <c r="E854" s="55" t="str">
        <f ca="1">IFERROR(__xludf.DUMMYFUNCTION("""COMPUTED_VALUE"""),"")</f>
        <v/>
      </c>
      <c r="F854" s="54" t="str">
        <f ca="1">IFERROR(__xludf.DUMMYFUNCTION("""COMPUTED_VALUE"""),"")</f>
        <v/>
      </c>
      <c r="G854" s="38" t="str">
        <f ca="1">IFERROR(__xludf.DUMMYFUNCTION("""COMPUTED_VALUE"""),"")</f>
        <v/>
      </c>
      <c r="H854" s="38" t="str">
        <f ca="1">IFERROR(__xludf.DUMMYFUNCTION("""COMPUTED_VALUE"""),"")</f>
        <v/>
      </c>
    </row>
    <row r="855" spans="1:8" ht="12.75">
      <c r="A855" s="36" t="str">
        <f ca="1">IFERROR(__xludf.DUMMYFUNCTION("""COMPUTED_VALUE"""),"")</f>
        <v/>
      </c>
      <c r="B855" s="38"/>
      <c r="C855" s="54" t="str">
        <f ca="1">IFERROR(__xludf.DUMMYFUNCTION("""COMPUTED_VALUE"""),"")</f>
        <v/>
      </c>
      <c r="D855" s="54" t="str">
        <f ca="1">IFERROR(__xludf.DUMMYFUNCTION("""COMPUTED_VALUE"""),"")</f>
        <v/>
      </c>
      <c r="E855" s="55" t="str">
        <f ca="1">IFERROR(__xludf.DUMMYFUNCTION("""COMPUTED_VALUE"""),"")</f>
        <v/>
      </c>
      <c r="F855" s="54" t="str">
        <f ca="1">IFERROR(__xludf.DUMMYFUNCTION("""COMPUTED_VALUE"""),"")</f>
        <v/>
      </c>
      <c r="G855" s="38" t="str">
        <f ca="1">IFERROR(__xludf.DUMMYFUNCTION("""COMPUTED_VALUE"""),"")</f>
        <v/>
      </c>
      <c r="H855" s="38" t="str">
        <f ca="1">IFERROR(__xludf.DUMMYFUNCTION("""COMPUTED_VALUE"""),"")</f>
        <v/>
      </c>
    </row>
    <row r="856" spans="1:8" ht="12.75">
      <c r="A856" s="36" t="str">
        <f ca="1">IFERROR(__xludf.DUMMYFUNCTION("""COMPUTED_VALUE"""),"")</f>
        <v/>
      </c>
      <c r="B856" s="38"/>
      <c r="C856" s="54" t="str">
        <f ca="1">IFERROR(__xludf.DUMMYFUNCTION("""COMPUTED_VALUE"""),"")</f>
        <v/>
      </c>
      <c r="D856" s="54" t="str">
        <f ca="1">IFERROR(__xludf.DUMMYFUNCTION("""COMPUTED_VALUE"""),"")</f>
        <v/>
      </c>
      <c r="E856" s="55" t="str">
        <f ca="1">IFERROR(__xludf.DUMMYFUNCTION("""COMPUTED_VALUE"""),"")</f>
        <v/>
      </c>
      <c r="F856" s="54" t="str">
        <f ca="1">IFERROR(__xludf.DUMMYFUNCTION("""COMPUTED_VALUE"""),"")</f>
        <v/>
      </c>
      <c r="G856" s="38" t="str">
        <f ca="1">IFERROR(__xludf.DUMMYFUNCTION("""COMPUTED_VALUE"""),"")</f>
        <v/>
      </c>
      <c r="H856" s="38" t="str">
        <f ca="1">IFERROR(__xludf.DUMMYFUNCTION("""COMPUTED_VALUE"""),"")</f>
        <v/>
      </c>
    </row>
    <row r="857" spans="1:8" ht="12.75">
      <c r="A857" s="36" t="str">
        <f ca="1">IFERROR(__xludf.DUMMYFUNCTION("""COMPUTED_VALUE"""),"")</f>
        <v/>
      </c>
      <c r="B857" s="38"/>
      <c r="C857" s="54" t="str">
        <f ca="1">IFERROR(__xludf.DUMMYFUNCTION("""COMPUTED_VALUE"""),"")</f>
        <v/>
      </c>
      <c r="D857" s="54" t="str">
        <f ca="1">IFERROR(__xludf.DUMMYFUNCTION("""COMPUTED_VALUE"""),"")</f>
        <v/>
      </c>
      <c r="E857" s="55" t="str">
        <f ca="1">IFERROR(__xludf.DUMMYFUNCTION("""COMPUTED_VALUE"""),"")</f>
        <v/>
      </c>
      <c r="F857" s="54" t="str">
        <f ca="1">IFERROR(__xludf.DUMMYFUNCTION("""COMPUTED_VALUE"""),"")</f>
        <v/>
      </c>
      <c r="G857" s="38" t="str">
        <f ca="1">IFERROR(__xludf.DUMMYFUNCTION("""COMPUTED_VALUE"""),"")</f>
        <v/>
      </c>
      <c r="H857" s="38" t="str">
        <f ca="1">IFERROR(__xludf.DUMMYFUNCTION("""COMPUTED_VALUE"""),"")</f>
        <v/>
      </c>
    </row>
    <row r="858" spans="1:8" ht="12.75">
      <c r="A858" s="36" t="str">
        <f ca="1">IFERROR(__xludf.DUMMYFUNCTION("""COMPUTED_VALUE"""),"")</f>
        <v/>
      </c>
      <c r="B858" s="38"/>
      <c r="C858" s="54" t="str">
        <f ca="1">IFERROR(__xludf.DUMMYFUNCTION("""COMPUTED_VALUE"""),"")</f>
        <v/>
      </c>
      <c r="D858" s="54" t="str">
        <f ca="1">IFERROR(__xludf.DUMMYFUNCTION("""COMPUTED_VALUE"""),"")</f>
        <v/>
      </c>
      <c r="E858" s="55" t="str">
        <f ca="1">IFERROR(__xludf.DUMMYFUNCTION("""COMPUTED_VALUE"""),"")</f>
        <v/>
      </c>
      <c r="F858" s="54" t="str">
        <f ca="1">IFERROR(__xludf.DUMMYFUNCTION("""COMPUTED_VALUE"""),"")</f>
        <v/>
      </c>
      <c r="G858" s="38" t="str">
        <f ca="1">IFERROR(__xludf.DUMMYFUNCTION("""COMPUTED_VALUE"""),"")</f>
        <v/>
      </c>
      <c r="H858" s="38" t="str">
        <f ca="1">IFERROR(__xludf.DUMMYFUNCTION("""COMPUTED_VALUE"""),"")</f>
        <v/>
      </c>
    </row>
    <row r="859" spans="1:8" ht="12.75">
      <c r="A859" s="36" t="str">
        <f ca="1">IFERROR(__xludf.DUMMYFUNCTION("""COMPUTED_VALUE"""),"")</f>
        <v/>
      </c>
      <c r="B859" s="38"/>
      <c r="C859" s="54" t="str">
        <f ca="1">IFERROR(__xludf.DUMMYFUNCTION("""COMPUTED_VALUE"""),"")</f>
        <v/>
      </c>
      <c r="D859" s="54" t="str">
        <f ca="1">IFERROR(__xludf.DUMMYFUNCTION("""COMPUTED_VALUE"""),"")</f>
        <v/>
      </c>
      <c r="E859" s="55" t="str">
        <f ca="1">IFERROR(__xludf.DUMMYFUNCTION("""COMPUTED_VALUE"""),"")</f>
        <v/>
      </c>
      <c r="F859" s="54" t="str">
        <f ca="1">IFERROR(__xludf.DUMMYFUNCTION("""COMPUTED_VALUE"""),"")</f>
        <v/>
      </c>
      <c r="G859" s="38" t="str">
        <f ca="1">IFERROR(__xludf.DUMMYFUNCTION("""COMPUTED_VALUE"""),"")</f>
        <v/>
      </c>
      <c r="H859" s="38" t="str">
        <f ca="1">IFERROR(__xludf.DUMMYFUNCTION("""COMPUTED_VALUE"""),"")</f>
        <v/>
      </c>
    </row>
    <row r="860" spans="1:8" ht="12.75">
      <c r="A860" s="36" t="str">
        <f ca="1">IFERROR(__xludf.DUMMYFUNCTION("""COMPUTED_VALUE"""),"")</f>
        <v/>
      </c>
      <c r="B860" s="38"/>
      <c r="C860" s="54" t="str">
        <f ca="1">IFERROR(__xludf.DUMMYFUNCTION("""COMPUTED_VALUE"""),"")</f>
        <v/>
      </c>
      <c r="D860" s="54" t="str">
        <f ca="1">IFERROR(__xludf.DUMMYFUNCTION("""COMPUTED_VALUE"""),"")</f>
        <v/>
      </c>
      <c r="E860" s="55" t="str">
        <f ca="1">IFERROR(__xludf.DUMMYFUNCTION("""COMPUTED_VALUE"""),"")</f>
        <v/>
      </c>
      <c r="F860" s="54" t="str">
        <f ca="1">IFERROR(__xludf.DUMMYFUNCTION("""COMPUTED_VALUE"""),"")</f>
        <v/>
      </c>
      <c r="G860" s="38" t="str">
        <f ca="1">IFERROR(__xludf.DUMMYFUNCTION("""COMPUTED_VALUE"""),"")</f>
        <v/>
      </c>
      <c r="H860" s="38" t="str">
        <f ca="1">IFERROR(__xludf.DUMMYFUNCTION("""COMPUTED_VALUE"""),"")</f>
        <v/>
      </c>
    </row>
    <row r="861" spans="1:8" ht="12.75">
      <c r="A861" s="36" t="str">
        <f ca="1">IFERROR(__xludf.DUMMYFUNCTION("""COMPUTED_VALUE"""),"")</f>
        <v/>
      </c>
      <c r="B861" s="38"/>
      <c r="C861" s="54" t="str">
        <f ca="1">IFERROR(__xludf.DUMMYFUNCTION("""COMPUTED_VALUE"""),"")</f>
        <v/>
      </c>
      <c r="D861" s="54" t="str">
        <f ca="1">IFERROR(__xludf.DUMMYFUNCTION("""COMPUTED_VALUE"""),"")</f>
        <v/>
      </c>
      <c r="E861" s="55" t="str">
        <f ca="1">IFERROR(__xludf.DUMMYFUNCTION("""COMPUTED_VALUE"""),"")</f>
        <v/>
      </c>
      <c r="F861" s="54" t="str">
        <f ca="1">IFERROR(__xludf.DUMMYFUNCTION("""COMPUTED_VALUE"""),"")</f>
        <v/>
      </c>
      <c r="G861" s="38" t="str">
        <f ca="1">IFERROR(__xludf.DUMMYFUNCTION("""COMPUTED_VALUE"""),"")</f>
        <v/>
      </c>
      <c r="H861" s="38" t="str">
        <f ca="1">IFERROR(__xludf.DUMMYFUNCTION("""COMPUTED_VALUE"""),"")</f>
        <v/>
      </c>
    </row>
    <row r="862" spans="1:8" ht="12.75">
      <c r="A862" s="36" t="str">
        <f ca="1">IFERROR(__xludf.DUMMYFUNCTION("""COMPUTED_VALUE"""),"")</f>
        <v/>
      </c>
      <c r="B862" s="38"/>
      <c r="C862" s="54" t="str">
        <f ca="1">IFERROR(__xludf.DUMMYFUNCTION("""COMPUTED_VALUE"""),"")</f>
        <v/>
      </c>
      <c r="D862" s="54" t="str">
        <f ca="1">IFERROR(__xludf.DUMMYFUNCTION("""COMPUTED_VALUE"""),"")</f>
        <v/>
      </c>
      <c r="E862" s="55" t="str">
        <f ca="1">IFERROR(__xludf.DUMMYFUNCTION("""COMPUTED_VALUE"""),"")</f>
        <v/>
      </c>
      <c r="F862" s="54" t="str">
        <f ca="1">IFERROR(__xludf.DUMMYFUNCTION("""COMPUTED_VALUE"""),"")</f>
        <v/>
      </c>
      <c r="G862" s="38" t="str">
        <f ca="1">IFERROR(__xludf.DUMMYFUNCTION("""COMPUTED_VALUE"""),"")</f>
        <v/>
      </c>
      <c r="H862" s="38" t="str">
        <f ca="1">IFERROR(__xludf.DUMMYFUNCTION("""COMPUTED_VALUE"""),"")</f>
        <v/>
      </c>
    </row>
    <row r="863" spans="1:8" ht="12.75">
      <c r="A863" s="36" t="str">
        <f ca="1">IFERROR(__xludf.DUMMYFUNCTION("""COMPUTED_VALUE"""),"")</f>
        <v/>
      </c>
      <c r="B863" s="38"/>
      <c r="C863" s="54" t="str">
        <f ca="1">IFERROR(__xludf.DUMMYFUNCTION("""COMPUTED_VALUE"""),"")</f>
        <v/>
      </c>
      <c r="D863" s="54" t="str">
        <f ca="1">IFERROR(__xludf.DUMMYFUNCTION("""COMPUTED_VALUE"""),"")</f>
        <v/>
      </c>
      <c r="E863" s="55" t="str">
        <f ca="1">IFERROR(__xludf.DUMMYFUNCTION("""COMPUTED_VALUE"""),"")</f>
        <v/>
      </c>
      <c r="F863" s="54" t="str">
        <f ca="1">IFERROR(__xludf.DUMMYFUNCTION("""COMPUTED_VALUE"""),"")</f>
        <v/>
      </c>
      <c r="G863" s="38" t="str">
        <f ca="1">IFERROR(__xludf.DUMMYFUNCTION("""COMPUTED_VALUE"""),"")</f>
        <v/>
      </c>
      <c r="H863" s="38" t="str">
        <f ca="1">IFERROR(__xludf.DUMMYFUNCTION("""COMPUTED_VALUE"""),"")</f>
        <v/>
      </c>
    </row>
    <row r="864" spans="1:8" ht="12.75">
      <c r="A864" s="36" t="str">
        <f ca="1">IFERROR(__xludf.DUMMYFUNCTION("""COMPUTED_VALUE"""),"")</f>
        <v/>
      </c>
      <c r="B864" s="38"/>
      <c r="C864" s="54" t="str">
        <f ca="1">IFERROR(__xludf.DUMMYFUNCTION("""COMPUTED_VALUE"""),"")</f>
        <v/>
      </c>
      <c r="D864" s="54" t="str">
        <f ca="1">IFERROR(__xludf.DUMMYFUNCTION("""COMPUTED_VALUE"""),"")</f>
        <v/>
      </c>
      <c r="E864" s="55" t="str">
        <f ca="1">IFERROR(__xludf.DUMMYFUNCTION("""COMPUTED_VALUE"""),"")</f>
        <v/>
      </c>
      <c r="F864" s="54" t="str">
        <f ca="1">IFERROR(__xludf.DUMMYFUNCTION("""COMPUTED_VALUE"""),"")</f>
        <v/>
      </c>
      <c r="G864" s="38" t="str">
        <f ca="1">IFERROR(__xludf.DUMMYFUNCTION("""COMPUTED_VALUE"""),"")</f>
        <v/>
      </c>
      <c r="H864" s="38" t="str">
        <f ca="1">IFERROR(__xludf.DUMMYFUNCTION("""COMPUTED_VALUE"""),"")</f>
        <v/>
      </c>
    </row>
    <row r="865" spans="1:8" ht="12.75">
      <c r="A865" s="36" t="str">
        <f ca="1">IFERROR(__xludf.DUMMYFUNCTION("""COMPUTED_VALUE"""),"")</f>
        <v/>
      </c>
      <c r="B865" s="38"/>
      <c r="C865" s="54" t="str">
        <f ca="1">IFERROR(__xludf.DUMMYFUNCTION("""COMPUTED_VALUE"""),"")</f>
        <v/>
      </c>
      <c r="D865" s="54" t="str">
        <f ca="1">IFERROR(__xludf.DUMMYFUNCTION("""COMPUTED_VALUE"""),"")</f>
        <v/>
      </c>
      <c r="E865" s="55" t="str">
        <f ca="1">IFERROR(__xludf.DUMMYFUNCTION("""COMPUTED_VALUE"""),"")</f>
        <v/>
      </c>
      <c r="F865" s="54" t="str">
        <f ca="1">IFERROR(__xludf.DUMMYFUNCTION("""COMPUTED_VALUE"""),"")</f>
        <v/>
      </c>
      <c r="G865" s="38" t="str">
        <f ca="1">IFERROR(__xludf.DUMMYFUNCTION("""COMPUTED_VALUE"""),"")</f>
        <v/>
      </c>
      <c r="H865" s="38" t="str">
        <f ca="1">IFERROR(__xludf.DUMMYFUNCTION("""COMPUTED_VALUE"""),"")</f>
        <v/>
      </c>
    </row>
    <row r="866" spans="1:8" ht="12.75">
      <c r="A866" s="36" t="str">
        <f ca="1">IFERROR(__xludf.DUMMYFUNCTION("""COMPUTED_VALUE"""),"")</f>
        <v/>
      </c>
      <c r="B866" s="38"/>
      <c r="C866" s="54" t="str">
        <f ca="1">IFERROR(__xludf.DUMMYFUNCTION("""COMPUTED_VALUE"""),"")</f>
        <v/>
      </c>
      <c r="D866" s="54" t="str">
        <f ca="1">IFERROR(__xludf.DUMMYFUNCTION("""COMPUTED_VALUE"""),"")</f>
        <v/>
      </c>
      <c r="E866" s="55" t="str">
        <f ca="1">IFERROR(__xludf.DUMMYFUNCTION("""COMPUTED_VALUE"""),"")</f>
        <v/>
      </c>
      <c r="F866" s="54" t="str">
        <f ca="1">IFERROR(__xludf.DUMMYFUNCTION("""COMPUTED_VALUE"""),"")</f>
        <v/>
      </c>
      <c r="G866" s="38" t="str">
        <f ca="1">IFERROR(__xludf.DUMMYFUNCTION("""COMPUTED_VALUE"""),"")</f>
        <v/>
      </c>
      <c r="H866" s="38" t="str">
        <f ca="1">IFERROR(__xludf.DUMMYFUNCTION("""COMPUTED_VALUE"""),"")</f>
        <v/>
      </c>
    </row>
    <row r="867" spans="1:8" ht="12.75">
      <c r="A867" s="36" t="str">
        <f ca="1">IFERROR(__xludf.DUMMYFUNCTION("""COMPUTED_VALUE"""),"")</f>
        <v/>
      </c>
      <c r="B867" s="38"/>
      <c r="C867" s="54" t="str">
        <f ca="1">IFERROR(__xludf.DUMMYFUNCTION("""COMPUTED_VALUE"""),"")</f>
        <v/>
      </c>
      <c r="D867" s="54" t="str">
        <f ca="1">IFERROR(__xludf.DUMMYFUNCTION("""COMPUTED_VALUE"""),"")</f>
        <v/>
      </c>
      <c r="E867" s="55" t="str">
        <f ca="1">IFERROR(__xludf.DUMMYFUNCTION("""COMPUTED_VALUE"""),"")</f>
        <v/>
      </c>
      <c r="F867" s="54" t="str">
        <f ca="1">IFERROR(__xludf.DUMMYFUNCTION("""COMPUTED_VALUE"""),"")</f>
        <v/>
      </c>
      <c r="G867" s="38" t="str">
        <f ca="1">IFERROR(__xludf.DUMMYFUNCTION("""COMPUTED_VALUE"""),"")</f>
        <v/>
      </c>
      <c r="H867" s="38" t="str">
        <f ca="1">IFERROR(__xludf.DUMMYFUNCTION("""COMPUTED_VALUE"""),"")</f>
        <v/>
      </c>
    </row>
    <row r="868" spans="1:8" ht="12.75">
      <c r="A868" s="36" t="str">
        <f ca="1">IFERROR(__xludf.DUMMYFUNCTION("""COMPUTED_VALUE"""),"")</f>
        <v/>
      </c>
      <c r="B868" s="38"/>
      <c r="C868" s="54" t="str">
        <f ca="1">IFERROR(__xludf.DUMMYFUNCTION("""COMPUTED_VALUE"""),"")</f>
        <v/>
      </c>
      <c r="D868" s="54" t="str">
        <f ca="1">IFERROR(__xludf.DUMMYFUNCTION("""COMPUTED_VALUE"""),"")</f>
        <v/>
      </c>
      <c r="E868" s="55" t="str">
        <f ca="1">IFERROR(__xludf.DUMMYFUNCTION("""COMPUTED_VALUE"""),"")</f>
        <v/>
      </c>
      <c r="F868" s="54" t="str">
        <f ca="1">IFERROR(__xludf.DUMMYFUNCTION("""COMPUTED_VALUE"""),"")</f>
        <v/>
      </c>
      <c r="G868" s="38" t="str">
        <f ca="1">IFERROR(__xludf.DUMMYFUNCTION("""COMPUTED_VALUE"""),"")</f>
        <v/>
      </c>
      <c r="H868" s="38" t="str">
        <f ca="1">IFERROR(__xludf.DUMMYFUNCTION("""COMPUTED_VALUE"""),"")</f>
        <v/>
      </c>
    </row>
    <row r="869" spans="1:8" ht="12.75">
      <c r="A869" s="36" t="str">
        <f ca="1">IFERROR(__xludf.DUMMYFUNCTION("""COMPUTED_VALUE"""),"")</f>
        <v/>
      </c>
      <c r="B869" s="38"/>
      <c r="C869" s="54" t="str">
        <f ca="1">IFERROR(__xludf.DUMMYFUNCTION("""COMPUTED_VALUE"""),"")</f>
        <v/>
      </c>
      <c r="D869" s="54" t="str">
        <f ca="1">IFERROR(__xludf.DUMMYFUNCTION("""COMPUTED_VALUE"""),"")</f>
        <v/>
      </c>
      <c r="E869" s="55" t="str">
        <f ca="1">IFERROR(__xludf.DUMMYFUNCTION("""COMPUTED_VALUE"""),"")</f>
        <v/>
      </c>
      <c r="F869" s="54" t="str">
        <f ca="1">IFERROR(__xludf.DUMMYFUNCTION("""COMPUTED_VALUE"""),"")</f>
        <v/>
      </c>
      <c r="G869" s="38" t="str">
        <f ca="1">IFERROR(__xludf.DUMMYFUNCTION("""COMPUTED_VALUE"""),"")</f>
        <v/>
      </c>
      <c r="H869" s="38" t="str">
        <f ca="1">IFERROR(__xludf.DUMMYFUNCTION("""COMPUTED_VALUE"""),"")</f>
        <v/>
      </c>
    </row>
    <row r="870" spans="1:8" ht="12.75">
      <c r="A870" s="36" t="str">
        <f ca="1">IFERROR(__xludf.DUMMYFUNCTION("""COMPUTED_VALUE"""),"")</f>
        <v/>
      </c>
      <c r="B870" s="38"/>
      <c r="C870" s="54" t="str">
        <f ca="1">IFERROR(__xludf.DUMMYFUNCTION("""COMPUTED_VALUE"""),"")</f>
        <v/>
      </c>
      <c r="D870" s="54" t="str">
        <f ca="1">IFERROR(__xludf.DUMMYFUNCTION("""COMPUTED_VALUE"""),"")</f>
        <v/>
      </c>
      <c r="E870" s="55" t="str">
        <f ca="1">IFERROR(__xludf.DUMMYFUNCTION("""COMPUTED_VALUE"""),"")</f>
        <v/>
      </c>
      <c r="F870" s="54" t="str">
        <f ca="1">IFERROR(__xludf.DUMMYFUNCTION("""COMPUTED_VALUE"""),"")</f>
        <v/>
      </c>
      <c r="G870" s="38" t="str">
        <f ca="1">IFERROR(__xludf.DUMMYFUNCTION("""COMPUTED_VALUE"""),"")</f>
        <v/>
      </c>
      <c r="H870" s="38" t="str">
        <f ca="1">IFERROR(__xludf.DUMMYFUNCTION("""COMPUTED_VALUE"""),"")</f>
        <v/>
      </c>
    </row>
    <row r="871" spans="1:8" ht="12.75">
      <c r="A871" s="36" t="str">
        <f ca="1">IFERROR(__xludf.DUMMYFUNCTION("""COMPUTED_VALUE"""),"")</f>
        <v/>
      </c>
      <c r="B871" s="38"/>
      <c r="C871" s="54" t="str">
        <f ca="1">IFERROR(__xludf.DUMMYFUNCTION("""COMPUTED_VALUE"""),"")</f>
        <v/>
      </c>
      <c r="D871" s="54" t="str">
        <f ca="1">IFERROR(__xludf.DUMMYFUNCTION("""COMPUTED_VALUE"""),"")</f>
        <v/>
      </c>
      <c r="E871" s="55" t="str">
        <f ca="1">IFERROR(__xludf.DUMMYFUNCTION("""COMPUTED_VALUE"""),"")</f>
        <v/>
      </c>
      <c r="F871" s="54" t="str">
        <f ca="1">IFERROR(__xludf.DUMMYFUNCTION("""COMPUTED_VALUE"""),"")</f>
        <v/>
      </c>
      <c r="G871" s="38" t="str">
        <f ca="1">IFERROR(__xludf.DUMMYFUNCTION("""COMPUTED_VALUE"""),"")</f>
        <v/>
      </c>
      <c r="H871" s="38" t="str">
        <f ca="1">IFERROR(__xludf.DUMMYFUNCTION("""COMPUTED_VALUE"""),"")</f>
        <v/>
      </c>
    </row>
    <row r="872" spans="1:8" ht="12.75">
      <c r="A872" s="36" t="str">
        <f ca="1">IFERROR(__xludf.DUMMYFUNCTION("""COMPUTED_VALUE"""),"")</f>
        <v/>
      </c>
      <c r="B872" s="38"/>
      <c r="C872" s="54" t="str">
        <f ca="1">IFERROR(__xludf.DUMMYFUNCTION("""COMPUTED_VALUE"""),"")</f>
        <v/>
      </c>
      <c r="D872" s="54" t="str">
        <f ca="1">IFERROR(__xludf.DUMMYFUNCTION("""COMPUTED_VALUE"""),"")</f>
        <v/>
      </c>
      <c r="E872" s="55" t="str">
        <f ca="1">IFERROR(__xludf.DUMMYFUNCTION("""COMPUTED_VALUE"""),"")</f>
        <v/>
      </c>
      <c r="F872" s="54" t="str">
        <f ca="1">IFERROR(__xludf.DUMMYFUNCTION("""COMPUTED_VALUE"""),"")</f>
        <v/>
      </c>
      <c r="G872" s="38" t="str">
        <f ca="1">IFERROR(__xludf.DUMMYFUNCTION("""COMPUTED_VALUE"""),"")</f>
        <v/>
      </c>
      <c r="H872" s="38" t="str">
        <f ca="1">IFERROR(__xludf.DUMMYFUNCTION("""COMPUTED_VALUE"""),"")</f>
        <v/>
      </c>
    </row>
    <row r="873" spans="1:8" ht="12.75">
      <c r="A873" s="36" t="str">
        <f ca="1">IFERROR(__xludf.DUMMYFUNCTION("""COMPUTED_VALUE"""),"")</f>
        <v/>
      </c>
      <c r="B873" s="38"/>
      <c r="C873" s="54" t="str">
        <f ca="1">IFERROR(__xludf.DUMMYFUNCTION("""COMPUTED_VALUE"""),"")</f>
        <v/>
      </c>
      <c r="D873" s="54" t="str">
        <f ca="1">IFERROR(__xludf.DUMMYFUNCTION("""COMPUTED_VALUE"""),"")</f>
        <v/>
      </c>
      <c r="E873" s="55" t="str">
        <f ca="1">IFERROR(__xludf.DUMMYFUNCTION("""COMPUTED_VALUE"""),"")</f>
        <v/>
      </c>
      <c r="F873" s="54" t="str">
        <f ca="1">IFERROR(__xludf.DUMMYFUNCTION("""COMPUTED_VALUE"""),"")</f>
        <v/>
      </c>
      <c r="G873" s="38" t="str">
        <f ca="1">IFERROR(__xludf.DUMMYFUNCTION("""COMPUTED_VALUE"""),"")</f>
        <v/>
      </c>
      <c r="H873" s="38" t="str">
        <f ca="1">IFERROR(__xludf.DUMMYFUNCTION("""COMPUTED_VALUE"""),"")</f>
        <v/>
      </c>
    </row>
    <row r="874" spans="1:8" ht="12.75">
      <c r="A874" s="36" t="str">
        <f ca="1">IFERROR(__xludf.DUMMYFUNCTION("""COMPUTED_VALUE"""),"")</f>
        <v/>
      </c>
      <c r="B874" s="38"/>
      <c r="C874" s="54" t="str">
        <f ca="1">IFERROR(__xludf.DUMMYFUNCTION("""COMPUTED_VALUE"""),"")</f>
        <v/>
      </c>
      <c r="D874" s="54" t="str">
        <f ca="1">IFERROR(__xludf.DUMMYFUNCTION("""COMPUTED_VALUE"""),"")</f>
        <v/>
      </c>
      <c r="E874" s="55" t="str">
        <f ca="1">IFERROR(__xludf.DUMMYFUNCTION("""COMPUTED_VALUE"""),"")</f>
        <v/>
      </c>
      <c r="F874" s="54" t="str">
        <f ca="1">IFERROR(__xludf.DUMMYFUNCTION("""COMPUTED_VALUE"""),"")</f>
        <v/>
      </c>
      <c r="G874" s="38" t="str">
        <f ca="1">IFERROR(__xludf.DUMMYFUNCTION("""COMPUTED_VALUE"""),"")</f>
        <v/>
      </c>
      <c r="H874" s="38" t="str">
        <f ca="1">IFERROR(__xludf.DUMMYFUNCTION("""COMPUTED_VALUE"""),"")</f>
        <v/>
      </c>
    </row>
    <row r="875" spans="1:8" ht="12.75">
      <c r="A875" s="36" t="str">
        <f ca="1">IFERROR(__xludf.DUMMYFUNCTION("""COMPUTED_VALUE"""),"")</f>
        <v/>
      </c>
      <c r="B875" s="38"/>
      <c r="C875" s="54" t="str">
        <f ca="1">IFERROR(__xludf.DUMMYFUNCTION("""COMPUTED_VALUE"""),"")</f>
        <v/>
      </c>
      <c r="D875" s="54" t="str">
        <f ca="1">IFERROR(__xludf.DUMMYFUNCTION("""COMPUTED_VALUE"""),"")</f>
        <v/>
      </c>
      <c r="E875" s="55" t="str">
        <f ca="1">IFERROR(__xludf.DUMMYFUNCTION("""COMPUTED_VALUE"""),"")</f>
        <v/>
      </c>
      <c r="F875" s="54" t="str">
        <f ca="1">IFERROR(__xludf.DUMMYFUNCTION("""COMPUTED_VALUE"""),"")</f>
        <v/>
      </c>
      <c r="G875" s="38" t="str">
        <f ca="1">IFERROR(__xludf.DUMMYFUNCTION("""COMPUTED_VALUE"""),"")</f>
        <v/>
      </c>
      <c r="H875" s="38" t="str">
        <f ca="1">IFERROR(__xludf.DUMMYFUNCTION("""COMPUTED_VALUE"""),"")</f>
        <v/>
      </c>
    </row>
    <row r="876" spans="1:8" ht="12.75">
      <c r="A876" s="36" t="str">
        <f ca="1">IFERROR(__xludf.DUMMYFUNCTION("""COMPUTED_VALUE"""),"")</f>
        <v/>
      </c>
      <c r="B876" s="38"/>
      <c r="C876" s="54" t="str">
        <f ca="1">IFERROR(__xludf.DUMMYFUNCTION("""COMPUTED_VALUE"""),"")</f>
        <v/>
      </c>
      <c r="D876" s="54" t="str">
        <f ca="1">IFERROR(__xludf.DUMMYFUNCTION("""COMPUTED_VALUE"""),"")</f>
        <v/>
      </c>
      <c r="E876" s="55" t="str">
        <f ca="1">IFERROR(__xludf.DUMMYFUNCTION("""COMPUTED_VALUE"""),"")</f>
        <v/>
      </c>
      <c r="F876" s="54" t="str">
        <f ca="1">IFERROR(__xludf.DUMMYFUNCTION("""COMPUTED_VALUE"""),"")</f>
        <v/>
      </c>
      <c r="G876" s="38" t="str">
        <f ca="1">IFERROR(__xludf.DUMMYFUNCTION("""COMPUTED_VALUE"""),"")</f>
        <v/>
      </c>
      <c r="H876" s="38" t="str">
        <f ca="1">IFERROR(__xludf.DUMMYFUNCTION("""COMPUTED_VALUE"""),"")</f>
        <v/>
      </c>
    </row>
    <row r="877" spans="1:8" ht="12.75">
      <c r="A877" s="36" t="str">
        <f ca="1">IFERROR(__xludf.DUMMYFUNCTION("""COMPUTED_VALUE"""),"")</f>
        <v/>
      </c>
      <c r="B877" s="38"/>
      <c r="C877" s="54" t="str">
        <f ca="1">IFERROR(__xludf.DUMMYFUNCTION("""COMPUTED_VALUE"""),"")</f>
        <v/>
      </c>
      <c r="D877" s="54" t="str">
        <f ca="1">IFERROR(__xludf.DUMMYFUNCTION("""COMPUTED_VALUE"""),"")</f>
        <v/>
      </c>
      <c r="E877" s="55" t="str">
        <f ca="1">IFERROR(__xludf.DUMMYFUNCTION("""COMPUTED_VALUE"""),"")</f>
        <v/>
      </c>
      <c r="F877" s="54" t="str">
        <f ca="1">IFERROR(__xludf.DUMMYFUNCTION("""COMPUTED_VALUE"""),"")</f>
        <v/>
      </c>
      <c r="G877" s="38" t="str">
        <f ca="1">IFERROR(__xludf.DUMMYFUNCTION("""COMPUTED_VALUE"""),"")</f>
        <v/>
      </c>
      <c r="H877" s="38" t="str">
        <f ca="1">IFERROR(__xludf.DUMMYFUNCTION("""COMPUTED_VALUE"""),"")</f>
        <v/>
      </c>
    </row>
    <row r="878" spans="1:8" ht="12.75">
      <c r="A878" s="36" t="str">
        <f ca="1">IFERROR(__xludf.DUMMYFUNCTION("""COMPUTED_VALUE"""),"")</f>
        <v/>
      </c>
      <c r="B878" s="38"/>
      <c r="C878" s="54" t="str">
        <f ca="1">IFERROR(__xludf.DUMMYFUNCTION("""COMPUTED_VALUE"""),"")</f>
        <v/>
      </c>
      <c r="D878" s="54" t="str">
        <f ca="1">IFERROR(__xludf.DUMMYFUNCTION("""COMPUTED_VALUE"""),"")</f>
        <v/>
      </c>
      <c r="E878" s="55" t="str">
        <f ca="1">IFERROR(__xludf.DUMMYFUNCTION("""COMPUTED_VALUE"""),"")</f>
        <v/>
      </c>
      <c r="F878" s="54" t="str">
        <f ca="1">IFERROR(__xludf.DUMMYFUNCTION("""COMPUTED_VALUE"""),"")</f>
        <v/>
      </c>
      <c r="G878" s="38" t="str">
        <f ca="1">IFERROR(__xludf.DUMMYFUNCTION("""COMPUTED_VALUE"""),"")</f>
        <v/>
      </c>
      <c r="H878" s="38" t="str">
        <f ca="1">IFERROR(__xludf.DUMMYFUNCTION("""COMPUTED_VALUE"""),"")</f>
        <v/>
      </c>
    </row>
    <row r="879" spans="1:8" ht="12.75">
      <c r="A879" s="36" t="str">
        <f ca="1">IFERROR(__xludf.DUMMYFUNCTION("""COMPUTED_VALUE"""),"")</f>
        <v/>
      </c>
      <c r="B879" s="38"/>
      <c r="C879" s="54" t="str">
        <f ca="1">IFERROR(__xludf.DUMMYFUNCTION("""COMPUTED_VALUE"""),"")</f>
        <v/>
      </c>
      <c r="D879" s="54" t="str">
        <f ca="1">IFERROR(__xludf.DUMMYFUNCTION("""COMPUTED_VALUE"""),"")</f>
        <v/>
      </c>
      <c r="E879" s="55" t="str">
        <f ca="1">IFERROR(__xludf.DUMMYFUNCTION("""COMPUTED_VALUE"""),"")</f>
        <v/>
      </c>
      <c r="F879" s="54" t="str">
        <f ca="1">IFERROR(__xludf.DUMMYFUNCTION("""COMPUTED_VALUE"""),"")</f>
        <v/>
      </c>
      <c r="G879" s="38" t="str">
        <f ca="1">IFERROR(__xludf.DUMMYFUNCTION("""COMPUTED_VALUE"""),"")</f>
        <v/>
      </c>
      <c r="H879" s="38" t="str">
        <f ca="1">IFERROR(__xludf.DUMMYFUNCTION("""COMPUTED_VALUE"""),"")</f>
        <v/>
      </c>
    </row>
    <row r="880" spans="1:8" ht="12.75">
      <c r="A880" s="36" t="str">
        <f ca="1">IFERROR(__xludf.DUMMYFUNCTION("""COMPUTED_VALUE"""),"")</f>
        <v/>
      </c>
      <c r="B880" s="38"/>
      <c r="C880" s="54" t="str">
        <f ca="1">IFERROR(__xludf.DUMMYFUNCTION("""COMPUTED_VALUE"""),"")</f>
        <v/>
      </c>
      <c r="D880" s="54" t="str">
        <f ca="1">IFERROR(__xludf.DUMMYFUNCTION("""COMPUTED_VALUE"""),"")</f>
        <v/>
      </c>
      <c r="E880" s="55" t="str">
        <f ca="1">IFERROR(__xludf.DUMMYFUNCTION("""COMPUTED_VALUE"""),"")</f>
        <v/>
      </c>
      <c r="F880" s="54" t="str">
        <f ca="1">IFERROR(__xludf.DUMMYFUNCTION("""COMPUTED_VALUE"""),"")</f>
        <v/>
      </c>
      <c r="G880" s="38" t="str">
        <f ca="1">IFERROR(__xludf.DUMMYFUNCTION("""COMPUTED_VALUE"""),"")</f>
        <v/>
      </c>
      <c r="H880" s="38" t="str">
        <f ca="1">IFERROR(__xludf.DUMMYFUNCTION("""COMPUTED_VALUE"""),"")</f>
        <v/>
      </c>
    </row>
    <row r="881" spans="1:8" ht="12.75">
      <c r="A881" s="36" t="str">
        <f ca="1">IFERROR(__xludf.DUMMYFUNCTION("""COMPUTED_VALUE"""),"")</f>
        <v/>
      </c>
      <c r="B881" s="38"/>
      <c r="C881" s="54" t="str">
        <f ca="1">IFERROR(__xludf.DUMMYFUNCTION("""COMPUTED_VALUE"""),"")</f>
        <v/>
      </c>
      <c r="D881" s="54" t="str">
        <f ca="1">IFERROR(__xludf.DUMMYFUNCTION("""COMPUTED_VALUE"""),"")</f>
        <v/>
      </c>
      <c r="E881" s="55" t="str">
        <f ca="1">IFERROR(__xludf.DUMMYFUNCTION("""COMPUTED_VALUE"""),"")</f>
        <v/>
      </c>
      <c r="F881" s="54" t="str">
        <f ca="1">IFERROR(__xludf.DUMMYFUNCTION("""COMPUTED_VALUE"""),"")</f>
        <v/>
      </c>
      <c r="G881" s="38" t="str">
        <f ca="1">IFERROR(__xludf.DUMMYFUNCTION("""COMPUTED_VALUE"""),"")</f>
        <v/>
      </c>
      <c r="H881" s="38" t="str">
        <f ca="1">IFERROR(__xludf.DUMMYFUNCTION("""COMPUTED_VALUE"""),"")</f>
        <v/>
      </c>
    </row>
    <row r="882" spans="1:8" ht="12.75">
      <c r="A882" s="36" t="str">
        <f ca="1">IFERROR(__xludf.DUMMYFUNCTION("""COMPUTED_VALUE"""),"")</f>
        <v/>
      </c>
      <c r="B882" s="38"/>
      <c r="C882" s="54" t="str">
        <f ca="1">IFERROR(__xludf.DUMMYFUNCTION("""COMPUTED_VALUE"""),"")</f>
        <v/>
      </c>
      <c r="D882" s="54" t="str">
        <f ca="1">IFERROR(__xludf.DUMMYFUNCTION("""COMPUTED_VALUE"""),"")</f>
        <v/>
      </c>
      <c r="E882" s="55" t="str">
        <f ca="1">IFERROR(__xludf.DUMMYFUNCTION("""COMPUTED_VALUE"""),"")</f>
        <v/>
      </c>
      <c r="F882" s="54" t="str">
        <f ca="1">IFERROR(__xludf.DUMMYFUNCTION("""COMPUTED_VALUE"""),"")</f>
        <v/>
      </c>
      <c r="G882" s="38" t="str">
        <f ca="1">IFERROR(__xludf.DUMMYFUNCTION("""COMPUTED_VALUE"""),"")</f>
        <v/>
      </c>
      <c r="H882" s="38" t="str">
        <f ca="1">IFERROR(__xludf.DUMMYFUNCTION("""COMPUTED_VALUE"""),"")</f>
        <v/>
      </c>
    </row>
    <row r="883" spans="1:8" ht="12.75">
      <c r="A883" s="36" t="str">
        <f ca="1">IFERROR(__xludf.DUMMYFUNCTION("""COMPUTED_VALUE"""),"")</f>
        <v/>
      </c>
      <c r="B883" s="38"/>
      <c r="C883" s="54" t="str">
        <f ca="1">IFERROR(__xludf.DUMMYFUNCTION("""COMPUTED_VALUE"""),"")</f>
        <v/>
      </c>
      <c r="D883" s="54" t="str">
        <f ca="1">IFERROR(__xludf.DUMMYFUNCTION("""COMPUTED_VALUE"""),"")</f>
        <v/>
      </c>
      <c r="E883" s="55" t="str">
        <f ca="1">IFERROR(__xludf.DUMMYFUNCTION("""COMPUTED_VALUE"""),"")</f>
        <v/>
      </c>
      <c r="F883" s="54" t="str">
        <f ca="1">IFERROR(__xludf.DUMMYFUNCTION("""COMPUTED_VALUE"""),"")</f>
        <v/>
      </c>
      <c r="G883" s="38" t="str">
        <f ca="1">IFERROR(__xludf.DUMMYFUNCTION("""COMPUTED_VALUE"""),"")</f>
        <v/>
      </c>
      <c r="H883" s="38" t="str">
        <f ca="1">IFERROR(__xludf.DUMMYFUNCTION("""COMPUTED_VALUE"""),"")</f>
        <v/>
      </c>
    </row>
    <row r="884" spans="1:8" ht="12.75">
      <c r="A884" s="36" t="str">
        <f ca="1">IFERROR(__xludf.DUMMYFUNCTION("""COMPUTED_VALUE"""),"")</f>
        <v/>
      </c>
      <c r="B884" s="38"/>
      <c r="C884" s="54" t="str">
        <f ca="1">IFERROR(__xludf.DUMMYFUNCTION("""COMPUTED_VALUE"""),"")</f>
        <v/>
      </c>
      <c r="D884" s="54" t="str">
        <f ca="1">IFERROR(__xludf.DUMMYFUNCTION("""COMPUTED_VALUE"""),"")</f>
        <v/>
      </c>
      <c r="E884" s="55" t="str">
        <f ca="1">IFERROR(__xludf.DUMMYFUNCTION("""COMPUTED_VALUE"""),"")</f>
        <v/>
      </c>
      <c r="F884" s="54" t="str">
        <f ca="1">IFERROR(__xludf.DUMMYFUNCTION("""COMPUTED_VALUE"""),"")</f>
        <v/>
      </c>
      <c r="G884" s="38" t="str">
        <f ca="1">IFERROR(__xludf.DUMMYFUNCTION("""COMPUTED_VALUE"""),"")</f>
        <v/>
      </c>
      <c r="H884" s="38" t="str">
        <f ca="1">IFERROR(__xludf.DUMMYFUNCTION("""COMPUTED_VALUE"""),"")</f>
        <v/>
      </c>
    </row>
    <row r="885" spans="1:8" ht="12.75">
      <c r="A885" s="36" t="str">
        <f ca="1">IFERROR(__xludf.DUMMYFUNCTION("""COMPUTED_VALUE"""),"")</f>
        <v/>
      </c>
      <c r="B885" s="38"/>
      <c r="C885" s="54" t="str">
        <f ca="1">IFERROR(__xludf.DUMMYFUNCTION("""COMPUTED_VALUE"""),"")</f>
        <v/>
      </c>
      <c r="D885" s="54" t="str">
        <f ca="1">IFERROR(__xludf.DUMMYFUNCTION("""COMPUTED_VALUE"""),"")</f>
        <v/>
      </c>
      <c r="E885" s="55" t="str">
        <f ca="1">IFERROR(__xludf.DUMMYFUNCTION("""COMPUTED_VALUE"""),"")</f>
        <v/>
      </c>
      <c r="F885" s="54" t="str">
        <f ca="1">IFERROR(__xludf.DUMMYFUNCTION("""COMPUTED_VALUE"""),"")</f>
        <v/>
      </c>
      <c r="G885" s="38" t="str">
        <f ca="1">IFERROR(__xludf.DUMMYFUNCTION("""COMPUTED_VALUE"""),"")</f>
        <v/>
      </c>
      <c r="H885" s="38" t="str">
        <f ca="1">IFERROR(__xludf.DUMMYFUNCTION("""COMPUTED_VALUE"""),"")</f>
        <v/>
      </c>
    </row>
    <row r="886" spans="1:8" ht="12.75">
      <c r="A886" s="36" t="str">
        <f ca="1">IFERROR(__xludf.DUMMYFUNCTION("""COMPUTED_VALUE"""),"")</f>
        <v/>
      </c>
      <c r="B886" s="38"/>
      <c r="C886" s="54" t="str">
        <f ca="1">IFERROR(__xludf.DUMMYFUNCTION("""COMPUTED_VALUE"""),"")</f>
        <v/>
      </c>
      <c r="D886" s="54" t="str">
        <f ca="1">IFERROR(__xludf.DUMMYFUNCTION("""COMPUTED_VALUE"""),"")</f>
        <v/>
      </c>
      <c r="E886" s="55" t="str">
        <f ca="1">IFERROR(__xludf.DUMMYFUNCTION("""COMPUTED_VALUE"""),"")</f>
        <v/>
      </c>
      <c r="F886" s="54" t="str">
        <f ca="1">IFERROR(__xludf.DUMMYFUNCTION("""COMPUTED_VALUE"""),"")</f>
        <v/>
      </c>
      <c r="G886" s="38" t="str">
        <f ca="1">IFERROR(__xludf.DUMMYFUNCTION("""COMPUTED_VALUE"""),"")</f>
        <v/>
      </c>
      <c r="H886" s="38" t="str">
        <f ca="1">IFERROR(__xludf.DUMMYFUNCTION("""COMPUTED_VALUE"""),"")</f>
        <v/>
      </c>
    </row>
    <row r="887" spans="1:8" ht="12.75">
      <c r="A887" s="36" t="str">
        <f ca="1">IFERROR(__xludf.DUMMYFUNCTION("""COMPUTED_VALUE"""),"")</f>
        <v/>
      </c>
      <c r="B887" s="38"/>
      <c r="C887" s="54" t="str">
        <f ca="1">IFERROR(__xludf.DUMMYFUNCTION("""COMPUTED_VALUE"""),"")</f>
        <v/>
      </c>
      <c r="D887" s="54" t="str">
        <f ca="1">IFERROR(__xludf.DUMMYFUNCTION("""COMPUTED_VALUE"""),"")</f>
        <v/>
      </c>
      <c r="E887" s="55" t="str">
        <f ca="1">IFERROR(__xludf.DUMMYFUNCTION("""COMPUTED_VALUE"""),"")</f>
        <v/>
      </c>
      <c r="F887" s="54" t="str">
        <f ca="1">IFERROR(__xludf.DUMMYFUNCTION("""COMPUTED_VALUE"""),"")</f>
        <v/>
      </c>
      <c r="G887" s="38" t="str">
        <f ca="1">IFERROR(__xludf.DUMMYFUNCTION("""COMPUTED_VALUE"""),"")</f>
        <v/>
      </c>
      <c r="H887" s="38" t="str">
        <f ca="1">IFERROR(__xludf.DUMMYFUNCTION("""COMPUTED_VALUE"""),"")</f>
        <v/>
      </c>
    </row>
    <row r="888" spans="1:8" ht="12.75">
      <c r="A888" s="36" t="str">
        <f ca="1">IFERROR(__xludf.DUMMYFUNCTION("""COMPUTED_VALUE"""),"")</f>
        <v/>
      </c>
      <c r="B888" s="38"/>
      <c r="C888" s="54" t="str">
        <f ca="1">IFERROR(__xludf.DUMMYFUNCTION("""COMPUTED_VALUE"""),"")</f>
        <v/>
      </c>
      <c r="D888" s="54" t="str">
        <f ca="1">IFERROR(__xludf.DUMMYFUNCTION("""COMPUTED_VALUE"""),"")</f>
        <v/>
      </c>
      <c r="E888" s="55" t="str">
        <f ca="1">IFERROR(__xludf.DUMMYFUNCTION("""COMPUTED_VALUE"""),"")</f>
        <v/>
      </c>
      <c r="F888" s="54" t="str">
        <f ca="1">IFERROR(__xludf.DUMMYFUNCTION("""COMPUTED_VALUE"""),"")</f>
        <v/>
      </c>
      <c r="G888" s="38" t="str">
        <f ca="1">IFERROR(__xludf.DUMMYFUNCTION("""COMPUTED_VALUE"""),"")</f>
        <v/>
      </c>
      <c r="H888" s="38" t="str">
        <f ca="1">IFERROR(__xludf.DUMMYFUNCTION("""COMPUTED_VALUE"""),"")</f>
        <v/>
      </c>
    </row>
    <row r="889" spans="1:8" ht="12.75">
      <c r="A889" s="36" t="str">
        <f ca="1">IFERROR(__xludf.DUMMYFUNCTION("""COMPUTED_VALUE"""),"")</f>
        <v/>
      </c>
      <c r="B889" s="38"/>
      <c r="C889" s="54" t="str">
        <f ca="1">IFERROR(__xludf.DUMMYFUNCTION("""COMPUTED_VALUE"""),"")</f>
        <v/>
      </c>
      <c r="D889" s="54" t="str">
        <f ca="1">IFERROR(__xludf.DUMMYFUNCTION("""COMPUTED_VALUE"""),"")</f>
        <v/>
      </c>
      <c r="E889" s="55" t="str">
        <f ca="1">IFERROR(__xludf.DUMMYFUNCTION("""COMPUTED_VALUE"""),"")</f>
        <v/>
      </c>
      <c r="F889" s="54" t="str">
        <f ca="1">IFERROR(__xludf.DUMMYFUNCTION("""COMPUTED_VALUE"""),"")</f>
        <v/>
      </c>
      <c r="G889" s="38" t="str">
        <f ca="1">IFERROR(__xludf.DUMMYFUNCTION("""COMPUTED_VALUE"""),"")</f>
        <v/>
      </c>
      <c r="H889" s="38" t="str">
        <f ca="1">IFERROR(__xludf.DUMMYFUNCTION("""COMPUTED_VALUE"""),"")</f>
        <v/>
      </c>
    </row>
    <row r="890" spans="1:8" ht="12.75">
      <c r="A890" s="36" t="str">
        <f ca="1">IFERROR(__xludf.DUMMYFUNCTION("""COMPUTED_VALUE"""),"")</f>
        <v/>
      </c>
      <c r="B890" s="38"/>
      <c r="C890" s="54" t="str">
        <f ca="1">IFERROR(__xludf.DUMMYFUNCTION("""COMPUTED_VALUE"""),"")</f>
        <v/>
      </c>
      <c r="D890" s="54" t="str">
        <f ca="1">IFERROR(__xludf.DUMMYFUNCTION("""COMPUTED_VALUE"""),"")</f>
        <v/>
      </c>
      <c r="E890" s="55" t="str">
        <f ca="1">IFERROR(__xludf.DUMMYFUNCTION("""COMPUTED_VALUE"""),"")</f>
        <v/>
      </c>
      <c r="F890" s="54" t="str">
        <f ca="1">IFERROR(__xludf.DUMMYFUNCTION("""COMPUTED_VALUE"""),"")</f>
        <v/>
      </c>
      <c r="G890" s="38" t="str">
        <f ca="1">IFERROR(__xludf.DUMMYFUNCTION("""COMPUTED_VALUE"""),"")</f>
        <v/>
      </c>
      <c r="H890" s="38" t="str">
        <f ca="1">IFERROR(__xludf.DUMMYFUNCTION("""COMPUTED_VALUE"""),"")</f>
        <v/>
      </c>
    </row>
    <row r="891" spans="1:8" ht="12.75">
      <c r="A891" s="36" t="str">
        <f ca="1">IFERROR(__xludf.DUMMYFUNCTION("""COMPUTED_VALUE"""),"")</f>
        <v/>
      </c>
      <c r="B891" s="38"/>
      <c r="C891" s="54" t="str">
        <f ca="1">IFERROR(__xludf.DUMMYFUNCTION("""COMPUTED_VALUE"""),"")</f>
        <v/>
      </c>
      <c r="D891" s="54" t="str">
        <f ca="1">IFERROR(__xludf.DUMMYFUNCTION("""COMPUTED_VALUE"""),"")</f>
        <v/>
      </c>
      <c r="E891" s="55" t="str">
        <f ca="1">IFERROR(__xludf.DUMMYFUNCTION("""COMPUTED_VALUE"""),"")</f>
        <v/>
      </c>
      <c r="F891" s="54" t="str">
        <f ca="1">IFERROR(__xludf.DUMMYFUNCTION("""COMPUTED_VALUE"""),"")</f>
        <v/>
      </c>
      <c r="G891" s="38" t="str">
        <f ca="1">IFERROR(__xludf.DUMMYFUNCTION("""COMPUTED_VALUE"""),"")</f>
        <v/>
      </c>
      <c r="H891" s="38" t="str">
        <f ca="1">IFERROR(__xludf.DUMMYFUNCTION("""COMPUTED_VALUE"""),"")</f>
        <v/>
      </c>
    </row>
    <row r="892" spans="1:8" ht="12.75">
      <c r="A892" s="36" t="str">
        <f ca="1">IFERROR(__xludf.DUMMYFUNCTION("""COMPUTED_VALUE"""),"")</f>
        <v/>
      </c>
      <c r="B892" s="38"/>
      <c r="C892" s="54" t="str">
        <f ca="1">IFERROR(__xludf.DUMMYFUNCTION("""COMPUTED_VALUE"""),"")</f>
        <v/>
      </c>
      <c r="D892" s="54" t="str">
        <f ca="1">IFERROR(__xludf.DUMMYFUNCTION("""COMPUTED_VALUE"""),"")</f>
        <v/>
      </c>
      <c r="E892" s="55" t="str">
        <f ca="1">IFERROR(__xludf.DUMMYFUNCTION("""COMPUTED_VALUE"""),"")</f>
        <v/>
      </c>
      <c r="F892" s="54" t="str">
        <f ca="1">IFERROR(__xludf.DUMMYFUNCTION("""COMPUTED_VALUE"""),"")</f>
        <v/>
      </c>
      <c r="G892" s="38" t="str">
        <f ca="1">IFERROR(__xludf.DUMMYFUNCTION("""COMPUTED_VALUE"""),"")</f>
        <v/>
      </c>
      <c r="H892" s="38" t="str">
        <f ca="1">IFERROR(__xludf.DUMMYFUNCTION("""COMPUTED_VALUE"""),"")</f>
        <v/>
      </c>
    </row>
    <row r="893" spans="1:8" ht="12.75">
      <c r="A893" s="36" t="str">
        <f ca="1">IFERROR(__xludf.DUMMYFUNCTION("""COMPUTED_VALUE"""),"")</f>
        <v/>
      </c>
      <c r="B893" s="38"/>
      <c r="C893" s="54" t="str">
        <f ca="1">IFERROR(__xludf.DUMMYFUNCTION("""COMPUTED_VALUE"""),"")</f>
        <v/>
      </c>
      <c r="D893" s="54" t="str">
        <f ca="1">IFERROR(__xludf.DUMMYFUNCTION("""COMPUTED_VALUE"""),"")</f>
        <v/>
      </c>
      <c r="E893" s="55" t="str">
        <f ca="1">IFERROR(__xludf.DUMMYFUNCTION("""COMPUTED_VALUE"""),"")</f>
        <v/>
      </c>
      <c r="F893" s="54" t="str">
        <f ca="1">IFERROR(__xludf.DUMMYFUNCTION("""COMPUTED_VALUE"""),"")</f>
        <v/>
      </c>
      <c r="G893" s="38" t="str">
        <f ca="1">IFERROR(__xludf.DUMMYFUNCTION("""COMPUTED_VALUE"""),"")</f>
        <v/>
      </c>
      <c r="H893" s="38" t="str">
        <f ca="1">IFERROR(__xludf.DUMMYFUNCTION("""COMPUTED_VALUE"""),"")</f>
        <v/>
      </c>
    </row>
    <row r="894" spans="1:8" ht="12.75">
      <c r="A894" s="36" t="str">
        <f ca="1">IFERROR(__xludf.DUMMYFUNCTION("""COMPUTED_VALUE"""),"")</f>
        <v/>
      </c>
      <c r="B894" s="38"/>
      <c r="C894" s="54" t="str">
        <f ca="1">IFERROR(__xludf.DUMMYFUNCTION("""COMPUTED_VALUE"""),"")</f>
        <v/>
      </c>
      <c r="D894" s="54" t="str">
        <f ca="1">IFERROR(__xludf.DUMMYFUNCTION("""COMPUTED_VALUE"""),"")</f>
        <v/>
      </c>
      <c r="E894" s="55" t="str">
        <f ca="1">IFERROR(__xludf.DUMMYFUNCTION("""COMPUTED_VALUE"""),"")</f>
        <v/>
      </c>
      <c r="F894" s="54" t="str">
        <f ca="1">IFERROR(__xludf.DUMMYFUNCTION("""COMPUTED_VALUE"""),"")</f>
        <v/>
      </c>
      <c r="G894" s="38" t="str">
        <f ca="1">IFERROR(__xludf.DUMMYFUNCTION("""COMPUTED_VALUE"""),"")</f>
        <v/>
      </c>
      <c r="H894" s="38" t="str">
        <f ca="1">IFERROR(__xludf.DUMMYFUNCTION("""COMPUTED_VALUE"""),"")</f>
        <v/>
      </c>
    </row>
    <row r="895" spans="1:8" ht="12.75">
      <c r="A895" s="36" t="str">
        <f ca="1">IFERROR(__xludf.DUMMYFUNCTION("""COMPUTED_VALUE"""),"")</f>
        <v/>
      </c>
      <c r="B895" s="38"/>
      <c r="C895" s="54" t="str">
        <f ca="1">IFERROR(__xludf.DUMMYFUNCTION("""COMPUTED_VALUE"""),"")</f>
        <v/>
      </c>
      <c r="D895" s="54" t="str">
        <f ca="1">IFERROR(__xludf.DUMMYFUNCTION("""COMPUTED_VALUE"""),"")</f>
        <v/>
      </c>
      <c r="E895" s="55" t="str">
        <f ca="1">IFERROR(__xludf.DUMMYFUNCTION("""COMPUTED_VALUE"""),"")</f>
        <v/>
      </c>
      <c r="F895" s="54" t="str">
        <f ca="1">IFERROR(__xludf.DUMMYFUNCTION("""COMPUTED_VALUE"""),"")</f>
        <v/>
      </c>
      <c r="G895" s="38" t="str">
        <f ca="1">IFERROR(__xludf.DUMMYFUNCTION("""COMPUTED_VALUE"""),"")</f>
        <v/>
      </c>
      <c r="H895" s="38" t="str">
        <f ca="1">IFERROR(__xludf.DUMMYFUNCTION("""COMPUTED_VALUE"""),"")</f>
        <v/>
      </c>
    </row>
    <row r="896" spans="1:8" ht="12.75">
      <c r="A896" s="36" t="str">
        <f ca="1">IFERROR(__xludf.DUMMYFUNCTION("""COMPUTED_VALUE"""),"")</f>
        <v/>
      </c>
      <c r="B896" s="38"/>
      <c r="C896" s="54" t="str">
        <f ca="1">IFERROR(__xludf.DUMMYFUNCTION("""COMPUTED_VALUE"""),"")</f>
        <v/>
      </c>
      <c r="D896" s="54" t="str">
        <f ca="1">IFERROR(__xludf.DUMMYFUNCTION("""COMPUTED_VALUE"""),"")</f>
        <v/>
      </c>
      <c r="E896" s="55" t="str">
        <f ca="1">IFERROR(__xludf.DUMMYFUNCTION("""COMPUTED_VALUE"""),"")</f>
        <v/>
      </c>
      <c r="F896" s="54" t="str">
        <f ca="1">IFERROR(__xludf.DUMMYFUNCTION("""COMPUTED_VALUE"""),"")</f>
        <v/>
      </c>
      <c r="G896" s="38" t="str">
        <f ca="1">IFERROR(__xludf.DUMMYFUNCTION("""COMPUTED_VALUE"""),"")</f>
        <v/>
      </c>
      <c r="H896" s="38" t="str">
        <f ca="1">IFERROR(__xludf.DUMMYFUNCTION("""COMPUTED_VALUE"""),"")</f>
        <v/>
      </c>
    </row>
    <row r="897" spans="1:8" ht="12.75">
      <c r="A897" s="36" t="str">
        <f ca="1">IFERROR(__xludf.DUMMYFUNCTION("""COMPUTED_VALUE"""),"")</f>
        <v/>
      </c>
      <c r="B897" s="38"/>
      <c r="C897" s="54" t="str">
        <f ca="1">IFERROR(__xludf.DUMMYFUNCTION("""COMPUTED_VALUE"""),"")</f>
        <v/>
      </c>
      <c r="D897" s="54" t="str">
        <f ca="1">IFERROR(__xludf.DUMMYFUNCTION("""COMPUTED_VALUE"""),"")</f>
        <v/>
      </c>
      <c r="E897" s="55" t="str">
        <f ca="1">IFERROR(__xludf.DUMMYFUNCTION("""COMPUTED_VALUE"""),"")</f>
        <v/>
      </c>
      <c r="F897" s="54" t="str">
        <f ca="1">IFERROR(__xludf.DUMMYFUNCTION("""COMPUTED_VALUE"""),"")</f>
        <v/>
      </c>
      <c r="G897" s="38" t="str">
        <f ca="1">IFERROR(__xludf.DUMMYFUNCTION("""COMPUTED_VALUE"""),"")</f>
        <v/>
      </c>
      <c r="H897" s="38" t="str">
        <f ca="1">IFERROR(__xludf.DUMMYFUNCTION("""COMPUTED_VALUE"""),"")</f>
        <v/>
      </c>
    </row>
    <row r="898" spans="1:8" ht="12.75">
      <c r="A898" s="36" t="str">
        <f ca="1">IFERROR(__xludf.DUMMYFUNCTION("""COMPUTED_VALUE"""),"")</f>
        <v/>
      </c>
      <c r="B898" s="38"/>
      <c r="C898" s="54" t="str">
        <f ca="1">IFERROR(__xludf.DUMMYFUNCTION("""COMPUTED_VALUE"""),"")</f>
        <v/>
      </c>
      <c r="D898" s="54" t="str">
        <f ca="1">IFERROR(__xludf.DUMMYFUNCTION("""COMPUTED_VALUE"""),"")</f>
        <v/>
      </c>
      <c r="E898" s="55" t="str">
        <f ca="1">IFERROR(__xludf.DUMMYFUNCTION("""COMPUTED_VALUE"""),"")</f>
        <v/>
      </c>
      <c r="F898" s="54" t="str">
        <f ca="1">IFERROR(__xludf.DUMMYFUNCTION("""COMPUTED_VALUE"""),"")</f>
        <v/>
      </c>
      <c r="G898" s="38" t="str">
        <f ca="1">IFERROR(__xludf.DUMMYFUNCTION("""COMPUTED_VALUE"""),"")</f>
        <v/>
      </c>
      <c r="H898" s="38" t="str">
        <f ca="1">IFERROR(__xludf.DUMMYFUNCTION("""COMPUTED_VALUE"""),"")</f>
        <v/>
      </c>
    </row>
    <row r="899" spans="1:8" ht="12.75">
      <c r="A899" s="36" t="str">
        <f ca="1">IFERROR(__xludf.DUMMYFUNCTION("""COMPUTED_VALUE"""),"")</f>
        <v/>
      </c>
      <c r="B899" s="38"/>
      <c r="C899" s="54" t="str">
        <f ca="1">IFERROR(__xludf.DUMMYFUNCTION("""COMPUTED_VALUE"""),"")</f>
        <v/>
      </c>
      <c r="D899" s="54" t="str">
        <f ca="1">IFERROR(__xludf.DUMMYFUNCTION("""COMPUTED_VALUE"""),"")</f>
        <v/>
      </c>
      <c r="E899" s="55" t="str">
        <f ca="1">IFERROR(__xludf.DUMMYFUNCTION("""COMPUTED_VALUE"""),"")</f>
        <v/>
      </c>
      <c r="F899" s="54" t="str">
        <f ca="1">IFERROR(__xludf.DUMMYFUNCTION("""COMPUTED_VALUE"""),"")</f>
        <v/>
      </c>
      <c r="G899" s="38" t="str">
        <f ca="1">IFERROR(__xludf.DUMMYFUNCTION("""COMPUTED_VALUE"""),"")</f>
        <v/>
      </c>
      <c r="H899" s="38" t="str">
        <f ca="1">IFERROR(__xludf.DUMMYFUNCTION("""COMPUTED_VALUE"""),"")</f>
        <v/>
      </c>
    </row>
    <row r="900" spans="1:8" ht="12.75">
      <c r="A900" s="36" t="str">
        <f ca="1">IFERROR(__xludf.DUMMYFUNCTION("""COMPUTED_VALUE"""),"")</f>
        <v/>
      </c>
      <c r="B900" s="38"/>
      <c r="C900" s="54" t="str">
        <f ca="1">IFERROR(__xludf.DUMMYFUNCTION("""COMPUTED_VALUE"""),"")</f>
        <v/>
      </c>
      <c r="D900" s="54" t="str">
        <f ca="1">IFERROR(__xludf.DUMMYFUNCTION("""COMPUTED_VALUE"""),"")</f>
        <v/>
      </c>
      <c r="E900" s="55" t="str">
        <f ca="1">IFERROR(__xludf.DUMMYFUNCTION("""COMPUTED_VALUE"""),"")</f>
        <v/>
      </c>
      <c r="F900" s="54" t="str">
        <f ca="1">IFERROR(__xludf.DUMMYFUNCTION("""COMPUTED_VALUE"""),"")</f>
        <v/>
      </c>
      <c r="G900" s="38" t="str">
        <f ca="1">IFERROR(__xludf.DUMMYFUNCTION("""COMPUTED_VALUE"""),"")</f>
        <v/>
      </c>
      <c r="H900" s="38" t="str">
        <f ca="1">IFERROR(__xludf.DUMMYFUNCTION("""COMPUTED_VALUE"""),"")</f>
        <v/>
      </c>
    </row>
    <row r="901" spans="1:8" ht="12.75">
      <c r="A901" s="36" t="str">
        <f ca="1">IFERROR(__xludf.DUMMYFUNCTION("""COMPUTED_VALUE"""),"")</f>
        <v/>
      </c>
      <c r="B901" s="38"/>
      <c r="C901" s="54" t="str">
        <f ca="1">IFERROR(__xludf.DUMMYFUNCTION("""COMPUTED_VALUE"""),"")</f>
        <v/>
      </c>
      <c r="D901" s="54" t="str">
        <f ca="1">IFERROR(__xludf.DUMMYFUNCTION("""COMPUTED_VALUE"""),"")</f>
        <v/>
      </c>
      <c r="E901" s="55" t="str">
        <f ca="1">IFERROR(__xludf.DUMMYFUNCTION("""COMPUTED_VALUE"""),"")</f>
        <v/>
      </c>
      <c r="F901" s="54" t="str">
        <f ca="1">IFERROR(__xludf.DUMMYFUNCTION("""COMPUTED_VALUE"""),"")</f>
        <v/>
      </c>
      <c r="G901" s="38" t="str">
        <f ca="1">IFERROR(__xludf.DUMMYFUNCTION("""COMPUTED_VALUE"""),"")</f>
        <v/>
      </c>
      <c r="H901" s="38" t="str">
        <f ca="1">IFERROR(__xludf.DUMMYFUNCTION("""COMPUTED_VALUE"""),"")</f>
        <v/>
      </c>
    </row>
    <row r="902" spans="1:8" ht="12.75">
      <c r="A902" s="36" t="str">
        <f ca="1">IFERROR(__xludf.DUMMYFUNCTION("""COMPUTED_VALUE"""),"")</f>
        <v/>
      </c>
      <c r="B902" s="38"/>
      <c r="C902" s="54" t="str">
        <f ca="1">IFERROR(__xludf.DUMMYFUNCTION("""COMPUTED_VALUE"""),"")</f>
        <v/>
      </c>
      <c r="D902" s="54" t="str">
        <f ca="1">IFERROR(__xludf.DUMMYFUNCTION("""COMPUTED_VALUE"""),"")</f>
        <v/>
      </c>
      <c r="E902" s="55" t="str">
        <f ca="1">IFERROR(__xludf.DUMMYFUNCTION("""COMPUTED_VALUE"""),"")</f>
        <v/>
      </c>
      <c r="F902" s="54" t="str">
        <f ca="1">IFERROR(__xludf.DUMMYFUNCTION("""COMPUTED_VALUE"""),"")</f>
        <v/>
      </c>
      <c r="G902" s="38" t="str">
        <f ca="1">IFERROR(__xludf.DUMMYFUNCTION("""COMPUTED_VALUE"""),"")</f>
        <v/>
      </c>
      <c r="H902" s="38" t="str">
        <f ca="1">IFERROR(__xludf.DUMMYFUNCTION("""COMPUTED_VALUE"""),"")</f>
        <v/>
      </c>
    </row>
    <row r="903" spans="1:8" ht="12.75">
      <c r="A903" s="36" t="str">
        <f ca="1">IFERROR(__xludf.DUMMYFUNCTION("""COMPUTED_VALUE"""),"")</f>
        <v/>
      </c>
      <c r="B903" s="38"/>
      <c r="C903" s="54" t="str">
        <f ca="1">IFERROR(__xludf.DUMMYFUNCTION("""COMPUTED_VALUE"""),"")</f>
        <v/>
      </c>
      <c r="D903" s="54" t="str">
        <f ca="1">IFERROR(__xludf.DUMMYFUNCTION("""COMPUTED_VALUE"""),"")</f>
        <v/>
      </c>
      <c r="E903" s="55" t="str">
        <f ca="1">IFERROR(__xludf.DUMMYFUNCTION("""COMPUTED_VALUE"""),"")</f>
        <v/>
      </c>
      <c r="F903" s="54" t="str">
        <f ca="1">IFERROR(__xludf.DUMMYFUNCTION("""COMPUTED_VALUE"""),"")</f>
        <v/>
      </c>
      <c r="G903" s="38" t="str">
        <f ca="1">IFERROR(__xludf.DUMMYFUNCTION("""COMPUTED_VALUE"""),"")</f>
        <v/>
      </c>
      <c r="H903" s="38" t="str">
        <f ca="1">IFERROR(__xludf.DUMMYFUNCTION("""COMPUTED_VALUE"""),"")</f>
        <v/>
      </c>
    </row>
    <row r="904" spans="1:8" ht="12.75">
      <c r="A904" s="36" t="str">
        <f ca="1">IFERROR(__xludf.DUMMYFUNCTION("""COMPUTED_VALUE"""),"")</f>
        <v/>
      </c>
      <c r="B904" s="38"/>
      <c r="C904" s="54" t="str">
        <f ca="1">IFERROR(__xludf.DUMMYFUNCTION("""COMPUTED_VALUE"""),"")</f>
        <v/>
      </c>
      <c r="D904" s="54" t="str">
        <f ca="1">IFERROR(__xludf.DUMMYFUNCTION("""COMPUTED_VALUE"""),"")</f>
        <v/>
      </c>
      <c r="E904" s="55" t="str">
        <f ca="1">IFERROR(__xludf.DUMMYFUNCTION("""COMPUTED_VALUE"""),"")</f>
        <v/>
      </c>
      <c r="F904" s="54" t="str">
        <f ca="1">IFERROR(__xludf.DUMMYFUNCTION("""COMPUTED_VALUE"""),"")</f>
        <v/>
      </c>
      <c r="G904" s="38" t="str">
        <f ca="1">IFERROR(__xludf.DUMMYFUNCTION("""COMPUTED_VALUE"""),"")</f>
        <v/>
      </c>
      <c r="H904" s="38" t="str">
        <f ca="1">IFERROR(__xludf.DUMMYFUNCTION("""COMPUTED_VALUE"""),"")</f>
        <v/>
      </c>
    </row>
    <row r="905" spans="1:8" ht="12.75">
      <c r="A905" s="36" t="str">
        <f ca="1">IFERROR(__xludf.DUMMYFUNCTION("""COMPUTED_VALUE"""),"")</f>
        <v/>
      </c>
      <c r="B905" s="38"/>
      <c r="C905" s="54" t="str">
        <f ca="1">IFERROR(__xludf.DUMMYFUNCTION("""COMPUTED_VALUE"""),"")</f>
        <v/>
      </c>
      <c r="D905" s="54" t="str">
        <f ca="1">IFERROR(__xludf.DUMMYFUNCTION("""COMPUTED_VALUE"""),"")</f>
        <v/>
      </c>
      <c r="E905" s="55" t="str">
        <f ca="1">IFERROR(__xludf.DUMMYFUNCTION("""COMPUTED_VALUE"""),"")</f>
        <v/>
      </c>
      <c r="F905" s="54" t="str">
        <f ca="1">IFERROR(__xludf.DUMMYFUNCTION("""COMPUTED_VALUE"""),"")</f>
        <v/>
      </c>
      <c r="G905" s="38" t="str">
        <f ca="1">IFERROR(__xludf.DUMMYFUNCTION("""COMPUTED_VALUE"""),"")</f>
        <v/>
      </c>
      <c r="H905" s="38" t="str">
        <f ca="1">IFERROR(__xludf.DUMMYFUNCTION("""COMPUTED_VALUE"""),"")</f>
        <v/>
      </c>
    </row>
    <row r="906" spans="1:8" ht="12.75">
      <c r="A906" s="36" t="str">
        <f ca="1">IFERROR(__xludf.DUMMYFUNCTION("""COMPUTED_VALUE"""),"")</f>
        <v/>
      </c>
      <c r="B906" s="38"/>
      <c r="C906" s="54" t="str">
        <f ca="1">IFERROR(__xludf.DUMMYFUNCTION("""COMPUTED_VALUE"""),"")</f>
        <v/>
      </c>
      <c r="D906" s="54" t="str">
        <f ca="1">IFERROR(__xludf.DUMMYFUNCTION("""COMPUTED_VALUE"""),"")</f>
        <v/>
      </c>
      <c r="E906" s="55" t="str">
        <f ca="1">IFERROR(__xludf.DUMMYFUNCTION("""COMPUTED_VALUE"""),"")</f>
        <v/>
      </c>
      <c r="F906" s="54" t="str">
        <f ca="1">IFERROR(__xludf.DUMMYFUNCTION("""COMPUTED_VALUE"""),"")</f>
        <v/>
      </c>
      <c r="G906" s="38" t="str">
        <f ca="1">IFERROR(__xludf.DUMMYFUNCTION("""COMPUTED_VALUE"""),"")</f>
        <v/>
      </c>
      <c r="H906" s="38" t="str">
        <f ca="1">IFERROR(__xludf.DUMMYFUNCTION("""COMPUTED_VALUE"""),"")</f>
        <v/>
      </c>
    </row>
    <row r="907" spans="1:8" ht="12.75">
      <c r="A907" s="36" t="str">
        <f ca="1">IFERROR(__xludf.DUMMYFUNCTION("""COMPUTED_VALUE"""),"")</f>
        <v/>
      </c>
      <c r="B907" s="38"/>
      <c r="C907" s="54" t="str">
        <f ca="1">IFERROR(__xludf.DUMMYFUNCTION("""COMPUTED_VALUE"""),"")</f>
        <v/>
      </c>
      <c r="D907" s="54" t="str">
        <f ca="1">IFERROR(__xludf.DUMMYFUNCTION("""COMPUTED_VALUE"""),"")</f>
        <v/>
      </c>
      <c r="E907" s="55" t="str">
        <f ca="1">IFERROR(__xludf.DUMMYFUNCTION("""COMPUTED_VALUE"""),"")</f>
        <v/>
      </c>
      <c r="F907" s="54" t="str">
        <f ca="1">IFERROR(__xludf.DUMMYFUNCTION("""COMPUTED_VALUE"""),"")</f>
        <v/>
      </c>
      <c r="G907" s="38" t="str">
        <f ca="1">IFERROR(__xludf.DUMMYFUNCTION("""COMPUTED_VALUE"""),"")</f>
        <v/>
      </c>
      <c r="H907" s="38" t="str">
        <f ca="1">IFERROR(__xludf.DUMMYFUNCTION("""COMPUTED_VALUE"""),"")</f>
        <v/>
      </c>
    </row>
    <row r="908" spans="1:8" ht="12.75">
      <c r="A908" s="36" t="str">
        <f ca="1">IFERROR(__xludf.DUMMYFUNCTION("""COMPUTED_VALUE"""),"")</f>
        <v/>
      </c>
      <c r="B908" s="38"/>
      <c r="C908" s="54" t="str">
        <f ca="1">IFERROR(__xludf.DUMMYFUNCTION("""COMPUTED_VALUE"""),"")</f>
        <v/>
      </c>
      <c r="D908" s="54" t="str">
        <f ca="1">IFERROR(__xludf.DUMMYFUNCTION("""COMPUTED_VALUE"""),"")</f>
        <v/>
      </c>
      <c r="E908" s="55" t="str">
        <f ca="1">IFERROR(__xludf.DUMMYFUNCTION("""COMPUTED_VALUE"""),"")</f>
        <v/>
      </c>
      <c r="F908" s="54" t="str">
        <f ca="1">IFERROR(__xludf.DUMMYFUNCTION("""COMPUTED_VALUE"""),"")</f>
        <v/>
      </c>
      <c r="G908" s="38" t="str">
        <f ca="1">IFERROR(__xludf.DUMMYFUNCTION("""COMPUTED_VALUE"""),"")</f>
        <v/>
      </c>
      <c r="H908" s="38" t="str">
        <f ca="1">IFERROR(__xludf.DUMMYFUNCTION("""COMPUTED_VALUE"""),"")</f>
        <v/>
      </c>
    </row>
    <row r="909" spans="1:8" ht="12.75">
      <c r="A909" s="36" t="str">
        <f ca="1">IFERROR(__xludf.DUMMYFUNCTION("""COMPUTED_VALUE"""),"")</f>
        <v/>
      </c>
      <c r="B909" s="38"/>
      <c r="C909" s="54" t="str">
        <f ca="1">IFERROR(__xludf.DUMMYFUNCTION("""COMPUTED_VALUE"""),"")</f>
        <v/>
      </c>
      <c r="D909" s="54" t="str">
        <f ca="1">IFERROR(__xludf.DUMMYFUNCTION("""COMPUTED_VALUE"""),"")</f>
        <v/>
      </c>
      <c r="E909" s="55" t="str">
        <f ca="1">IFERROR(__xludf.DUMMYFUNCTION("""COMPUTED_VALUE"""),"")</f>
        <v/>
      </c>
      <c r="F909" s="54" t="str">
        <f ca="1">IFERROR(__xludf.DUMMYFUNCTION("""COMPUTED_VALUE"""),"")</f>
        <v/>
      </c>
      <c r="G909" s="38" t="str">
        <f ca="1">IFERROR(__xludf.DUMMYFUNCTION("""COMPUTED_VALUE"""),"")</f>
        <v/>
      </c>
      <c r="H909" s="38" t="str">
        <f ca="1">IFERROR(__xludf.DUMMYFUNCTION("""COMPUTED_VALUE"""),"")</f>
        <v/>
      </c>
    </row>
    <row r="910" spans="1:8" ht="12.75">
      <c r="A910" s="36" t="str">
        <f ca="1">IFERROR(__xludf.DUMMYFUNCTION("""COMPUTED_VALUE"""),"")</f>
        <v/>
      </c>
      <c r="B910" s="38"/>
      <c r="C910" s="54" t="str">
        <f ca="1">IFERROR(__xludf.DUMMYFUNCTION("""COMPUTED_VALUE"""),"")</f>
        <v/>
      </c>
      <c r="D910" s="54" t="str">
        <f ca="1">IFERROR(__xludf.DUMMYFUNCTION("""COMPUTED_VALUE"""),"")</f>
        <v/>
      </c>
      <c r="E910" s="55" t="str">
        <f ca="1">IFERROR(__xludf.DUMMYFUNCTION("""COMPUTED_VALUE"""),"")</f>
        <v/>
      </c>
      <c r="F910" s="54" t="str">
        <f ca="1">IFERROR(__xludf.DUMMYFUNCTION("""COMPUTED_VALUE"""),"")</f>
        <v/>
      </c>
      <c r="G910" s="38" t="str">
        <f ca="1">IFERROR(__xludf.DUMMYFUNCTION("""COMPUTED_VALUE"""),"")</f>
        <v/>
      </c>
      <c r="H910" s="38" t="str">
        <f ca="1">IFERROR(__xludf.DUMMYFUNCTION("""COMPUTED_VALUE"""),"")</f>
        <v/>
      </c>
    </row>
    <row r="911" spans="1:8" ht="12.75">
      <c r="A911" s="36" t="str">
        <f ca="1">IFERROR(__xludf.DUMMYFUNCTION("""COMPUTED_VALUE"""),"")</f>
        <v/>
      </c>
      <c r="B911" s="38"/>
      <c r="C911" s="54" t="str">
        <f ca="1">IFERROR(__xludf.DUMMYFUNCTION("""COMPUTED_VALUE"""),"")</f>
        <v/>
      </c>
      <c r="D911" s="54" t="str">
        <f ca="1">IFERROR(__xludf.DUMMYFUNCTION("""COMPUTED_VALUE"""),"")</f>
        <v/>
      </c>
      <c r="E911" s="55" t="str">
        <f ca="1">IFERROR(__xludf.DUMMYFUNCTION("""COMPUTED_VALUE"""),"")</f>
        <v/>
      </c>
      <c r="F911" s="54" t="str">
        <f ca="1">IFERROR(__xludf.DUMMYFUNCTION("""COMPUTED_VALUE"""),"")</f>
        <v/>
      </c>
      <c r="G911" s="38" t="str">
        <f ca="1">IFERROR(__xludf.DUMMYFUNCTION("""COMPUTED_VALUE"""),"")</f>
        <v/>
      </c>
      <c r="H911" s="38" t="str">
        <f ca="1">IFERROR(__xludf.DUMMYFUNCTION("""COMPUTED_VALUE"""),"")</f>
        <v/>
      </c>
    </row>
    <row r="912" spans="1:8" ht="12.75">
      <c r="A912" s="36" t="str">
        <f ca="1">IFERROR(__xludf.DUMMYFUNCTION("""COMPUTED_VALUE"""),"")</f>
        <v/>
      </c>
      <c r="B912" s="38"/>
      <c r="C912" s="54" t="str">
        <f ca="1">IFERROR(__xludf.DUMMYFUNCTION("""COMPUTED_VALUE"""),"")</f>
        <v/>
      </c>
      <c r="D912" s="54" t="str">
        <f ca="1">IFERROR(__xludf.DUMMYFUNCTION("""COMPUTED_VALUE"""),"")</f>
        <v/>
      </c>
      <c r="E912" s="55" t="str">
        <f ca="1">IFERROR(__xludf.DUMMYFUNCTION("""COMPUTED_VALUE"""),"")</f>
        <v/>
      </c>
      <c r="F912" s="54" t="str">
        <f ca="1">IFERROR(__xludf.DUMMYFUNCTION("""COMPUTED_VALUE"""),"")</f>
        <v/>
      </c>
      <c r="G912" s="38" t="str">
        <f ca="1">IFERROR(__xludf.DUMMYFUNCTION("""COMPUTED_VALUE"""),"")</f>
        <v/>
      </c>
      <c r="H912" s="38" t="str">
        <f ca="1">IFERROR(__xludf.DUMMYFUNCTION("""COMPUTED_VALUE"""),"")</f>
        <v/>
      </c>
    </row>
    <row r="913" spans="1:8" ht="12.75">
      <c r="A913" s="36" t="str">
        <f ca="1">IFERROR(__xludf.DUMMYFUNCTION("""COMPUTED_VALUE"""),"")</f>
        <v/>
      </c>
      <c r="B913" s="38"/>
      <c r="C913" s="54" t="str">
        <f ca="1">IFERROR(__xludf.DUMMYFUNCTION("""COMPUTED_VALUE"""),"")</f>
        <v/>
      </c>
      <c r="D913" s="54" t="str">
        <f ca="1">IFERROR(__xludf.DUMMYFUNCTION("""COMPUTED_VALUE"""),"")</f>
        <v/>
      </c>
      <c r="E913" s="55" t="str">
        <f ca="1">IFERROR(__xludf.DUMMYFUNCTION("""COMPUTED_VALUE"""),"")</f>
        <v/>
      </c>
      <c r="F913" s="54" t="str">
        <f ca="1">IFERROR(__xludf.DUMMYFUNCTION("""COMPUTED_VALUE"""),"")</f>
        <v/>
      </c>
      <c r="G913" s="38" t="str">
        <f ca="1">IFERROR(__xludf.DUMMYFUNCTION("""COMPUTED_VALUE"""),"")</f>
        <v/>
      </c>
      <c r="H913" s="38" t="str">
        <f ca="1">IFERROR(__xludf.DUMMYFUNCTION("""COMPUTED_VALUE"""),"")</f>
        <v/>
      </c>
    </row>
    <row r="914" spans="1:8" ht="12.75">
      <c r="A914" s="36" t="str">
        <f ca="1">IFERROR(__xludf.DUMMYFUNCTION("""COMPUTED_VALUE"""),"")</f>
        <v/>
      </c>
      <c r="B914" s="38"/>
      <c r="C914" s="54" t="str">
        <f ca="1">IFERROR(__xludf.DUMMYFUNCTION("""COMPUTED_VALUE"""),"")</f>
        <v/>
      </c>
      <c r="D914" s="54" t="str">
        <f ca="1">IFERROR(__xludf.DUMMYFUNCTION("""COMPUTED_VALUE"""),"")</f>
        <v/>
      </c>
      <c r="E914" s="55" t="str">
        <f ca="1">IFERROR(__xludf.DUMMYFUNCTION("""COMPUTED_VALUE"""),"")</f>
        <v/>
      </c>
      <c r="F914" s="54" t="str">
        <f ca="1">IFERROR(__xludf.DUMMYFUNCTION("""COMPUTED_VALUE"""),"")</f>
        <v/>
      </c>
      <c r="G914" s="38" t="str">
        <f ca="1">IFERROR(__xludf.DUMMYFUNCTION("""COMPUTED_VALUE"""),"")</f>
        <v/>
      </c>
      <c r="H914" s="38" t="str">
        <f ca="1">IFERROR(__xludf.DUMMYFUNCTION("""COMPUTED_VALUE"""),"")</f>
        <v/>
      </c>
    </row>
    <row r="915" spans="1:8" ht="12.75">
      <c r="A915" s="36" t="str">
        <f ca="1">IFERROR(__xludf.DUMMYFUNCTION("""COMPUTED_VALUE"""),"")</f>
        <v/>
      </c>
      <c r="B915" s="38"/>
      <c r="C915" s="54" t="str">
        <f ca="1">IFERROR(__xludf.DUMMYFUNCTION("""COMPUTED_VALUE"""),"")</f>
        <v/>
      </c>
      <c r="D915" s="54" t="str">
        <f ca="1">IFERROR(__xludf.DUMMYFUNCTION("""COMPUTED_VALUE"""),"")</f>
        <v/>
      </c>
      <c r="E915" s="55" t="str">
        <f ca="1">IFERROR(__xludf.DUMMYFUNCTION("""COMPUTED_VALUE"""),"")</f>
        <v/>
      </c>
      <c r="F915" s="54" t="str">
        <f ca="1">IFERROR(__xludf.DUMMYFUNCTION("""COMPUTED_VALUE"""),"")</f>
        <v/>
      </c>
      <c r="G915" s="38" t="str">
        <f ca="1">IFERROR(__xludf.DUMMYFUNCTION("""COMPUTED_VALUE"""),"")</f>
        <v/>
      </c>
      <c r="H915" s="38" t="str">
        <f ca="1">IFERROR(__xludf.DUMMYFUNCTION("""COMPUTED_VALUE"""),"")</f>
        <v/>
      </c>
    </row>
    <row r="916" spans="1:8" ht="12.75">
      <c r="A916" s="36" t="str">
        <f ca="1">IFERROR(__xludf.DUMMYFUNCTION("""COMPUTED_VALUE"""),"")</f>
        <v/>
      </c>
      <c r="B916" s="38"/>
      <c r="C916" s="54" t="str">
        <f ca="1">IFERROR(__xludf.DUMMYFUNCTION("""COMPUTED_VALUE"""),"")</f>
        <v/>
      </c>
      <c r="D916" s="54" t="str">
        <f ca="1">IFERROR(__xludf.DUMMYFUNCTION("""COMPUTED_VALUE"""),"")</f>
        <v/>
      </c>
      <c r="E916" s="55" t="str">
        <f ca="1">IFERROR(__xludf.DUMMYFUNCTION("""COMPUTED_VALUE"""),"")</f>
        <v/>
      </c>
      <c r="F916" s="54" t="str">
        <f ca="1">IFERROR(__xludf.DUMMYFUNCTION("""COMPUTED_VALUE"""),"")</f>
        <v/>
      </c>
      <c r="G916" s="38" t="str">
        <f ca="1">IFERROR(__xludf.DUMMYFUNCTION("""COMPUTED_VALUE"""),"")</f>
        <v/>
      </c>
      <c r="H916" s="38" t="str">
        <f ca="1">IFERROR(__xludf.DUMMYFUNCTION("""COMPUTED_VALUE"""),"")</f>
        <v/>
      </c>
    </row>
    <row r="917" spans="1:8" ht="12.75">
      <c r="A917" s="36" t="str">
        <f ca="1">IFERROR(__xludf.DUMMYFUNCTION("""COMPUTED_VALUE"""),"")</f>
        <v/>
      </c>
      <c r="B917" s="38"/>
      <c r="C917" s="54" t="str">
        <f ca="1">IFERROR(__xludf.DUMMYFUNCTION("""COMPUTED_VALUE"""),"")</f>
        <v/>
      </c>
      <c r="D917" s="54" t="str">
        <f ca="1">IFERROR(__xludf.DUMMYFUNCTION("""COMPUTED_VALUE"""),"")</f>
        <v/>
      </c>
      <c r="E917" s="55" t="str">
        <f ca="1">IFERROR(__xludf.DUMMYFUNCTION("""COMPUTED_VALUE"""),"")</f>
        <v/>
      </c>
      <c r="F917" s="54" t="str">
        <f ca="1">IFERROR(__xludf.DUMMYFUNCTION("""COMPUTED_VALUE"""),"")</f>
        <v/>
      </c>
      <c r="G917" s="38" t="str">
        <f ca="1">IFERROR(__xludf.DUMMYFUNCTION("""COMPUTED_VALUE"""),"")</f>
        <v/>
      </c>
      <c r="H917" s="38" t="str">
        <f ca="1">IFERROR(__xludf.DUMMYFUNCTION("""COMPUTED_VALUE"""),"")</f>
        <v/>
      </c>
    </row>
    <row r="918" spans="1:8" ht="12.75">
      <c r="A918" s="36" t="str">
        <f ca="1">IFERROR(__xludf.DUMMYFUNCTION("""COMPUTED_VALUE"""),"")</f>
        <v/>
      </c>
      <c r="B918" s="38"/>
      <c r="C918" s="54" t="str">
        <f ca="1">IFERROR(__xludf.DUMMYFUNCTION("""COMPUTED_VALUE"""),"")</f>
        <v/>
      </c>
      <c r="D918" s="54" t="str">
        <f ca="1">IFERROR(__xludf.DUMMYFUNCTION("""COMPUTED_VALUE"""),"")</f>
        <v/>
      </c>
      <c r="E918" s="55" t="str">
        <f ca="1">IFERROR(__xludf.DUMMYFUNCTION("""COMPUTED_VALUE"""),"")</f>
        <v/>
      </c>
      <c r="F918" s="54" t="str">
        <f ca="1">IFERROR(__xludf.DUMMYFUNCTION("""COMPUTED_VALUE"""),"")</f>
        <v/>
      </c>
      <c r="G918" s="38" t="str">
        <f ca="1">IFERROR(__xludf.DUMMYFUNCTION("""COMPUTED_VALUE"""),"")</f>
        <v/>
      </c>
      <c r="H918" s="38" t="str">
        <f ca="1">IFERROR(__xludf.DUMMYFUNCTION("""COMPUTED_VALUE"""),"")</f>
        <v/>
      </c>
    </row>
    <row r="919" spans="1:8" ht="12.75">
      <c r="A919" s="36" t="str">
        <f ca="1">IFERROR(__xludf.DUMMYFUNCTION("""COMPUTED_VALUE"""),"")</f>
        <v/>
      </c>
      <c r="B919" s="38"/>
      <c r="C919" s="54" t="str">
        <f ca="1">IFERROR(__xludf.DUMMYFUNCTION("""COMPUTED_VALUE"""),"")</f>
        <v/>
      </c>
      <c r="D919" s="54" t="str">
        <f ca="1">IFERROR(__xludf.DUMMYFUNCTION("""COMPUTED_VALUE"""),"")</f>
        <v/>
      </c>
      <c r="E919" s="55" t="str">
        <f ca="1">IFERROR(__xludf.DUMMYFUNCTION("""COMPUTED_VALUE"""),"")</f>
        <v/>
      </c>
      <c r="F919" s="54" t="str">
        <f ca="1">IFERROR(__xludf.DUMMYFUNCTION("""COMPUTED_VALUE"""),"")</f>
        <v/>
      </c>
      <c r="G919" s="38" t="str">
        <f ca="1">IFERROR(__xludf.DUMMYFUNCTION("""COMPUTED_VALUE"""),"")</f>
        <v/>
      </c>
      <c r="H919" s="38" t="str">
        <f ca="1">IFERROR(__xludf.DUMMYFUNCTION("""COMPUTED_VALUE"""),"")</f>
        <v/>
      </c>
    </row>
    <row r="920" spans="1:8" ht="12.75">
      <c r="A920" s="36" t="str">
        <f ca="1">IFERROR(__xludf.DUMMYFUNCTION("""COMPUTED_VALUE"""),"")</f>
        <v/>
      </c>
      <c r="B920" s="38"/>
      <c r="C920" s="54" t="str">
        <f ca="1">IFERROR(__xludf.DUMMYFUNCTION("""COMPUTED_VALUE"""),"")</f>
        <v/>
      </c>
      <c r="D920" s="54" t="str">
        <f ca="1">IFERROR(__xludf.DUMMYFUNCTION("""COMPUTED_VALUE"""),"")</f>
        <v/>
      </c>
      <c r="E920" s="55" t="str">
        <f ca="1">IFERROR(__xludf.DUMMYFUNCTION("""COMPUTED_VALUE"""),"")</f>
        <v/>
      </c>
      <c r="F920" s="54" t="str">
        <f ca="1">IFERROR(__xludf.DUMMYFUNCTION("""COMPUTED_VALUE"""),"")</f>
        <v/>
      </c>
      <c r="G920" s="38" t="str">
        <f ca="1">IFERROR(__xludf.DUMMYFUNCTION("""COMPUTED_VALUE"""),"")</f>
        <v/>
      </c>
      <c r="H920" s="38" t="str">
        <f ca="1">IFERROR(__xludf.DUMMYFUNCTION("""COMPUTED_VALUE"""),"")</f>
        <v/>
      </c>
    </row>
    <row r="921" spans="1:8" ht="12.75">
      <c r="A921" s="36" t="str">
        <f ca="1">IFERROR(__xludf.DUMMYFUNCTION("""COMPUTED_VALUE"""),"")</f>
        <v/>
      </c>
      <c r="B921" s="38"/>
      <c r="C921" s="54" t="str">
        <f ca="1">IFERROR(__xludf.DUMMYFUNCTION("""COMPUTED_VALUE"""),"")</f>
        <v/>
      </c>
      <c r="D921" s="54" t="str">
        <f ca="1">IFERROR(__xludf.DUMMYFUNCTION("""COMPUTED_VALUE"""),"")</f>
        <v/>
      </c>
      <c r="E921" s="55" t="str">
        <f ca="1">IFERROR(__xludf.DUMMYFUNCTION("""COMPUTED_VALUE"""),"")</f>
        <v/>
      </c>
      <c r="F921" s="54" t="str">
        <f ca="1">IFERROR(__xludf.DUMMYFUNCTION("""COMPUTED_VALUE"""),"")</f>
        <v/>
      </c>
      <c r="G921" s="38" t="str">
        <f ca="1">IFERROR(__xludf.DUMMYFUNCTION("""COMPUTED_VALUE"""),"")</f>
        <v/>
      </c>
      <c r="H921" s="38" t="str">
        <f ca="1">IFERROR(__xludf.DUMMYFUNCTION("""COMPUTED_VALUE"""),"")</f>
        <v/>
      </c>
    </row>
    <row r="922" spans="1:8" ht="12.75">
      <c r="A922" s="36" t="str">
        <f ca="1">IFERROR(__xludf.DUMMYFUNCTION("""COMPUTED_VALUE"""),"")</f>
        <v/>
      </c>
      <c r="B922" s="38"/>
      <c r="C922" s="54" t="str">
        <f ca="1">IFERROR(__xludf.DUMMYFUNCTION("""COMPUTED_VALUE"""),"")</f>
        <v/>
      </c>
      <c r="D922" s="54" t="str">
        <f ca="1">IFERROR(__xludf.DUMMYFUNCTION("""COMPUTED_VALUE"""),"")</f>
        <v/>
      </c>
      <c r="E922" s="55" t="str">
        <f ca="1">IFERROR(__xludf.DUMMYFUNCTION("""COMPUTED_VALUE"""),"")</f>
        <v/>
      </c>
      <c r="F922" s="54" t="str">
        <f ca="1">IFERROR(__xludf.DUMMYFUNCTION("""COMPUTED_VALUE"""),"")</f>
        <v/>
      </c>
      <c r="G922" s="38" t="str">
        <f ca="1">IFERROR(__xludf.DUMMYFUNCTION("""COMPUTED_VALUE"""),"")</f>
        <v/>
      </c>
      <c r="H922" s="38" t="str">
        <f ca="1">IFERROR(__xludf.DUMMYFUNCTION("""COMPUTED_VALUE"""),"")</f>
        <v/>
      </c>
    </row>
    <row r="923" spans="1:8" ht="12.75">
      <c r="A923" s="36" t="str">
        <f ca="1">IFERROR(__xludf.DUMMYFUNCTION("""COMPUTED_VALUE"""),"")</f>
        <v/>
      </c>
      <c r="B923" s="38"/>
      <c r="C923" s="54" t="str">
        <f ca="1">IFERROR(__xludf.DUMMYFUNCTION("""COMPUTED_VALUE"""),"")</f>
        <v/>
      </c>
      <c r="D923" s="54" t="str">
        <f ca="1">IFERROR(__xludf.DUMMYFUNCTION("""COMPUTED_VALUE"""),"")</f>
        <v/>
      </c>
      <c r="E923" s="55" t="str">
        <f ca="1">IFERROR(__xludf.DUMMYFUNCTION("""COMPUTED_VALUE"""),"")</f>
        <v/>
      </c>
      <c r="F923" s="54" t="str">
        <f ca="1">IFERROR(__xludf.DUMMYFUNCTION("""COMPUTED_VALUE"""),"")</f>
        <v/>
      </c>
      <c r="G923" s="38" t="str">
        <f ca="1">IFERROR(__xludf.DUMMYFUNCTION("""COMPUTED_VALUE"""),"")</f>
        <v/>
      </c>
      <c r="H923" s="38" t="str">
        <f ca="1">IFERROR(__xludf.DUMMYFUNCTION("""COMPUTED_VALUE"""),"")</f>
        <v/>
      </c>
    </row>
    <row r="924" spans="1:8" ht="12.75">
      <c r="A924" s="36" t="str">
        <f ca="1">IFERROR(__xludf.DUMMYFUNCTION("""COMPUTED_VALUE"""),"")</f>
        <v/>
      </c>
      <c r="B924" s="38"/>
      <c r="C924" s="54" t="str">
        <f ca="1">IFERROR(__xludf.DUMMYFUNCTION("""COMPUTED_VALUE"""),"")</f>
        <v/>
      </c>
      <c r="D924" s="54" t="str">
        <f ca="1">IFERROR(__xludf.DUMMYFUNCTION("""COMPUTED_VALUE"""),"")</f>
        <v/>
      </c>
      <c r="E924" s="55" t="str">
        <f ca="1">IFERROR(__xludf.DUMMYFUNCTION("""COMPUTED_VALUE"""),"")</f>
        <v/>
      </c>
      <c r="F924" s="54" t="str">
        <f ca="1">IFERROR(__xludf.DUMMYFUNCTION("""COMPUTED_VALUE"""),"")</f>
        <v/>
      </c>
      <c r="G924" s="38" t="str">
        <f ca="1">IFERROR(__xludf.DUMMYFUNCTION("""COMPUTED_VALUE"""),"")</f>
        <v/>
      </c>
      <c r="H924" s="38" t="str">
        <f ca="1">IFERROR(__xludf.DUMMYFUNCTION("""COMPUTED_VALUE"""),"")</f>
        <v/>
      </c>
    </row>
    <row r="925" spans="1:8" ht="12.75">
      <c r="A925" s="36" t="str">
        <f ca="1">IFERROR(__xludf.DUMMYFUNCTION("""COMPUTED_VALUE"""),"")</f>
        <v/>
      </c>
      <c r="B925" s="38"/>
      <c r="C925" s="54" t="str">
        <f ca="1">IFERROR(__xludf.DUMMYFUNCTION("""COMPUTED_VALUE"""),"")</f>
        <v/>
      </c>
      <c r="D925" s="54" t="str">
        <f ca="1">IFERROR(__xludf.DUMMYFUNCTION("""COMPUTED_VALUE"""),"")</f>
        <v/>
      </c>
      <c r="E925" s="55" t="str">
        <f ca="1">IFERROR(__xludf.DUMMYFUNCTION("""COMPUTED_VALUE"""),"")</f>
        <v/>
      </c>
      <c r="F925" s="54" t="str">
        <f ca="1">IFERROR(__xludf.DUMMYFUNCTION("""COMPUTED_VALUE"""),"")</f>
        <v/>
      </c>
      <c r="G925" s="38" t="str">
        <f ca="1">IFERROR(__xludf.DUMMYFUNCTION("""COMPUTED_VALUE"""),"")</f>
        <v/>
      </c>
      <c r="H925" s="38" t="str">
        <f ca="1">IFERROR(__xludf.DUMMYFUNCTION("""COMPUTED_VALUE"""),"")</f>
        <v/>
      </c>
    </row>
    <row r="926" spans="1:8" ht="12.75">
      <c r="A926" s="36" t="str">
        <f ca="1">IFERROR(__xludf.DUMMYFUNCTION("""COMPUTED_VALUE"""),"")</f>
        <v/>
      </c>
      <c r="B926" s="38"/>
      <c r="C926" s="54" t="str">
        <f ca="1">IFERROR(__xludf.DUMMYFUNCTION("""COMPUTED_VALUE"""),"")</f>
        <v/>
      </c>
      <c r="D926" s="54" t="str">
        <f ca="1">IFERROR(__xludf.DUMMYFUNCTION("""COMPUTED_VALUE"""),"")</f>
        <v/>
      </c>
      <c r="E926" s="55" t="str">
        <f ca="1">IFERROR(__xludf.DUMMYFUNCTION("""COMPUTED_VALUE"""),"")</f>
        <v/>
      </c>
      <c r="F926" s="54" t="str">
        <f ca="1">IFERROR(__xludf.DUMMYFUNCTION("""COMPUTED_VALUE"""),"")</f>
        <v/>
      </c>
      <c r="G926" s="38" t="str">
        <f ca="1">IFERROR(__xludf.DUMMYFUNCTION("""COMPUTED_VALUE"""),"")</f>
        <v/>
      </c>
      <c r="H926" s="38" t="str">
        <f ca="1">IFERROR(__xludf.DUMMYFUNCTION("""COMPUTED_VALUE"""),"")</f>
        <v/>
      </c>
    </row>
    <row r="927" spans="1:8" ht="12.75">
      <c r="A927" s="36" t="str">
        <f ca="1">IFERROR(__xludf.DUMMYFUNCTION("""COMPUTED_VALUE"""),"")</f>
        <v/>
      </c>
      <c r="B927" s="38"/>
      <c r="C927" s="54" t="str">
        <f ca="1">IFERROR(__xludf.DUMMYFUNCTION("""COMPUTED_VALUE"""),"")</f>
        <v/>
      </c>
      <c r="D927" s="54" t="str">
        <f ca="1">IFERROR(__xludf.DUMMYFUNCTION("""COMPUTED_VALUE"""),"")</f>
        <v/>
      </c>
      <c r="E927" s="55" t="str">
        <f ca="1">IFERROR(__xludf.DUMMYFUNCTION("""COMPUTED_VALUE"""),"")</f>
        <v/>
      </c>
      <c r="F927" s="54" t="str">
        <f ca="1">IFERROR(__xludf.DUMMYFUNCTION("""COMPUTED_VALUE"""),"")</f>
        <v/>
      </c>
      <c r="G927" s="38" t="str">
        <f ca="1">IFERROR(__xludf.DUMMYFUNCTION("""COMPUTED_VALUE"""),"")</f>
        <v/>
      </c>
      <c r="H927" s="38" t="str">
        <f ca="1">IFERROR(__xludf.DUMMYFUNCTION("""COMPUTED_VALUE"""),"")</f>
        <v/>
      </c>
    </row>
    <row r="928" spans="1:8" ht="12.75">
      <c r="A928" s="36" t="str">
        <f ca="1">IFERROR(__xludf.DUMMYFUNCTION("""COMPUTED_VALUE"""),"")</f>
        <v/>
      </c>
      <c r="B928" s="38"/>
      <c r="C928" s="54" t="str">
        <f ca="1">IFERROR(__xludf.DUMMYFUNCTION("""COMPUTED_VALUE"""),"")</f>
        <v/>
      </c>
      <c r="D928" s="54" t="str">
        <f ca="1">IFERROR(__xludf.DUMMYFUNCTION("""COMPUTED_VALUE"""),"")</f>
        <v/>
      </c>
      <c r="E928" s="55" t="str">
        <f ca="1">IFERROR(__xludf.DUMMYFUNCTION("""COMPUTED_VALUE"""),"")</f>
        <v/>
      </c>
      <c r="F928" s="54" t="str">
        <f ca="1">IFERROR(__xludf.DUMMYFUNCTION("""COMPUTED_VALUE"""),"")</f>
        <v/>
      </c>
      <c r="G928" s="38" t="str">
        <f ca="1">IFERROR(__xludf.DUMMYFUNCTION("""COMPUTED_VALUE"""),"")</f>
        <v/>
      </c>
      <c r="H928" s="38" t="str">
        <f ca="1">IFERROR(__xludf.DUMMYFUNCTION("""COMPUTED_VALUE"""),"")</f>
        <v/>
      </c>
    </row>
    <row r="929" spans="1:8" ht="12.75">
      <c r="A929" s="36" t="str">
        <f ca="1">IFERROR(__xludf.DUMMYFUNCTION("""COMPUTED_VALUE"""),"")</f>
        <v/>
      </c>
      <c r="B929" s="38"/>
      <c r="C929" s="54" t="str">
        <f ca="1">IFERROR(__xludf.DUMMYFUNCTION("""COMPUTED_VALUE"""),"")</f>
        <v/>
      </c>
      <c r="D929" s="54" t="str">
        <f ca="1">IFERROR(__xludf.DUMMYFUNCTION("""COMPUTED_VALUE"""),"")</f>
        <v/>
      </c>
      <c r="E929" s="55" t="str">
        <f ca="1">IFERROR(__xludf.DUMMYFUNCTION("""COMPUTED_VALUE"""),"")</f>
        <v/>
      </c>
      <c r="F929" s="54" t="str">
        <f ca="1">IFERROR(__xludf.DUMMYFUNCTION("""COMPUTED_VALUE"""),"")</f>
        <v/>
      </c>
      <c r="G929" s="38" t="str">
        <f ca="1">IFERROR(__xludf.DUMMYFUNCTION("""COMPUTED_VALUE"""),"")</f>
        <v/>
      </c>
      <c r="H929" s="38" t="str">
        <f ca="1">IFERROR(__xludf.DUMMYFUNCTION("""COMPUTED_VALUE"""),"")</f>
        <v/>
      </c>
    </row>
    <row r="930" spans="1:8" ht="12.75">
      <c r="A930" s="36" t="str">
        <f ca="1">IFERROR(__xludf.DUMMYFUNCTION("""COMPUTED_VALUE"""),"")</f>
        <v/>
      </c>
      <c r="B930" s="38"/>
      <c r="C930" s="54" t="str">
        <f ca="1">IFERROR(__xludf.DUMMYFUNCTION("""COMPUTED_VALUE"""),"")</f>
        <v/>
      </c>
      <c r="D930" s="54" t="str">
        <f ca="1">IFERROR(__xludf.DUMMYFUNCTION("""COMPUTED_VALUE"""),"")</f>
        <v/>
      </c>
      <c r="E930" s="55" t="str">
        <f ca="1">IFERROR(__xludf.DUMMYFUNCTION("""COMPUTED_VALUE"""),"")</f>
        <v/>
      </c>
      <c r="F930" s="54" t="str">
        <f ca="1">IFERROR(__xludf.DUMMYFUNCTION("""COMPUTED_VALUE"""),"")</f>
        <v/>
      </c>
      <c r="G930" s="38" t="str">
        <f ca="1">IFERROR(__xludf.DUMMYFUNCTION("""COMPUTED_VALUE"""),"")</f>
        <v/>
      </c>
      <c r="H930" s="38" t="str">
        <f ca="1">IFERROR(__xludf.DUMMYFUNCTION("""COMPUTED_VALUE"""),"")</f>
        <v/>
      </c>
    </row>
    <row r="931" spans="1:8" ht="12.75">
      <c r="A931" s="36" t="str">
        <f ca="1">IFERROR(__xludf.DUMMYFUNCTION("""COMPUTED_VALUE"""),"")</f>
        <v/>
      </c>
      <c r="B931" s="38"/>
      <c r="C931" s="54" t="str">
        <f ca="1">IFERROR(__xludf.DUMMYFUNCTION("""COMPUTED_VALUE"""),"")</f>
        <v/>
      </c>
      <c r="D931" s="54" t="str">
        <f ca="1">IFERROR(__xludf.DUMMYFUNCTION("""COMPUTED_VALUE"""),"")</f>
        <v/>
      </c>
      <c r="E931" s="55" t="str">
        <f ca="1">IFERROR(__xludf.DUMMYFUNCTION("""COMPUTED_VALUE"""),"")</f>
        <v/>
      </c>
      <c r="F931" s="54" t="str">
        <f ca="1">IFERROR(__xludf.DUMMYFUNCTION("""COMPUTED_VALUE"""),"")</f>
        <v/>
      </c>
      <c r="G931" s="38" t="str">
        <f ca="1">IFERROR(__xludf.DUMMYFUNCTION("""COMPUTED_VALUE"""),"")</f>
        <v/>
      </c>
      <c r="H931" s="38" t="str">
        <f ca="1">IFERROR(__xludf.DUMMYFUNCTION("""COMPUTED_VALUE"""),"")</f>
        <v/>
      </c>
    </row>
    <row r="932" spans="1:8" ht="12.75">
      <c r="A932" s="36" t="str">
        <f ca="1">IFERROR(__xludf.DUMMYFUNCTION("""COMPUTED_VALUE"""),"")</f>
        <v/>
      </c>
      <c r="B932" s="38"/>
      <c r="C932" s="54" t="str">
        <f ca="1">IFERROR(__xludf.DUMMYFUNCTION("""COMPUTED_VALUE"""),"")</f>
        <v/>
      </c>
      <c r="D932" s="54" t="str">
        <f ca="1">IFERROR(__xludf.DUMMYFUNCTION("""COMPUTED_VALUE"""),"")</f>
        <v/>
      </c>
      <c r="E932" s="55" t="str">
        <f ca="1">IFERROR(__xludf.DUMMYFUNCTION("""COMPUTED_VALUE"""),"")</f>
        <v/>
      </c>
      <c r="F932" s="54" t="str">
        <f ca="1">IFERROR(__xludf.DUMMYFUNCTION("""COMPUTED_VALUE"""),"")</f>
        <v/>
      </c>
      <c r="G932" s="38" t="str">
        <f ca="1">IFERROR(__xludf.DUMMYFUNCTION("""COMPUTED_VALUE"""),"")</f>
        <v/>
      </c>
      <c r="H932" s="38" t="str">
        <f ca="1">IFERROR(__xludf.DUMMYFUNCTION("""COMPUTED_VALUE"""),"")</f>
        <v/>
      </c>
    </row>
    <row r="933" spans="1:8" ht="12.75">
      <c r="A933" s="36" t="str">
        <f ca="1">IFERROR(__xludf.DUMMYFUNCTION("""COMPUTED_VALUE"""),"")</f>
        <v/>
      </c>
      <c r="B933" s="38"/>
      <c r="C933" s="54" t="str">
        <f ca="1">IFERROR(__xludf.DUMMYFUNCTION("""COMPUTED_VALUE"""),"")</f>
        <v/>
      </c>
      <c r="D933" s="54" t="str">
        <f ca="1">IFERROR(__xludf.DUMMYFUNCTION("""COMPUTED_VALUE"""),"")</f>
        <v/>
      </c>
      <c r="E933" s="55" t="str">
        <f ca="1">IFERROR(__xludf.DUMMYFUNCTION("""COMPUTED_VALUE"""),"")</f>
        <v/>
      </c>
      <c r="F933" s="54" t="str">
        <f ca="1">IFERROR(__xludf.DUMMYFUNCTION("""COMPUTED_VALUE"""),"")</f>
        <v/>
      </c>
      <c r="G933" s="38" t="str">
        <f ca="1">IFERROR(__xludf.DUMMYFUNCTION("""COMPUTED_VALUE"""),"")</f>
        <v/>
      </c>
      <c r="H933" s="38" t="str">
        <f ca="1">IFERROR(__xludf.DUMMYFUNCTION("""COMPUTED_VALUE"""),"")</f>
        <v/>
      </c>
    </row>
    <row r="934" spans="1:8" ht="12.75">
      <c r="A934" s="36" t="str">
        <f ca="1">IFERROR(__xludf.DUMMYFUNCTION("""COMPUTED_VALUE"""),"")</f>
        <v/>
      </c>
      <c r="B934" s="38"/>
      <c r="C934" s="54" t="str">
        <f ca="1">IFERROR(__xludf.DUMMYFUNCTION("""COMPUTED_VALUE"""),"")</f>
        <v/>
      </c>
      <c r="D934" s="54" t="str">
        <f ca="1">IFERROR(__xludf.DUMMYFUNCTION("""COMPUTED_VALUE"""),"")</f>
        <v/>
      </c>
      <c r="E934" s="55" t="str">
        <f ca="1">IFERROR(__xludf.DUMMYFUNCTION("""COMPUTED_VALUE"""),"")</f>
        <v/>
      </c>
      <c r="F934" s="54" t="str">
        <f ca="1">IFERROR(__xludf.DUMMYFUNCTION("""COMPUTED_VALUE"""),"")</f>
        <v/>
      </c>
      <c r="G934" s="38" t="str">
        <f ca="1">IFERROR(__xludf.DUMMYFUNCTION("""COMPUTED_VALUE"""),"")</f>
        <v/>
      </c>
      <c r="H934" s="38" t="str">
        <f ca="1">IFERROR(__xludf.DUMMYFUNCTION("""COMPUTED_VALUE"""),"")</f>
        <v/>
      </c>
    </row>
    <row r="935" spans="1:8" ht="12.75">
      <c r="A935" s="36" t="str">
        <f ca="1">IFERROR(__xludf.DUMMYFUNCTION("""COMPUTED_VALUE"""),"")</f>
        <v/>
      </c>
      <c r="B935" s="38"/>
      <c r="C935" s="54" t="str">
        <f ca="1">IFERROR(__xludf.DUMMYFUNCTION("""COMPUTED_VALUE"""),"")</f>
        <v/>
      </c>
      <c r="D935" s="54" t="str">
        <f ca="1">IFERROR(__xludf.DUMMYFUNCTION("""COMPUTED_VALUE"""),"")</f>
        <v/>
      </c>
      <c r="E935" s="55" t="str">
        <f ca="1">IFERROR(__xludf.DUMMYFUNCTION("""COMPUTED_VALUE"""),"")</f>
        <v/>
      </c>
      <c r="F935" s="54" t="str">
        <f ca="1">IFERROR(__xludf.DUMMYFUNCTION("""COMPUTED_VALUE"""),"")</f>
        <v/>
      </c>
      <c r="G935" s="38" t="str">
        <f ca="1">IFERROR(__xludf.DUMMYFUNCTION("""COMPUTED_VALUE"""),"")</f>
        <v/>
      </c>
      <c r="H935" s="38" t="str">
        <f ca="1">IFERROR(__xludf.DUMMYFUNCTION("""COMPUTED_VALUE"""),"")</f>
        <v/>
      </c>
    </row>
    <row r="936" spans="1:8" ht="12.75">
      <c r="A936" s="36" t="str">
        <f ca="1">IFERROR(__xludf.DUMMYFUNCTION("""COMPUTED_VALUE"""),"")</f>
        <v/>
      </c>
      <c r="B936" s="38"/>
      <c r="C936" s="54" t="str">
        <f ca="1">IFERROR(__xludf.DUMMYFUNCTION("""COMPUTED_VALUE"""),"")</f>
        <v/>
      </c>
      <c r="D936" s="54" t="str">
        <f ca="1">IFERROR(__xludf.DUMMYFUNCTION("""COMPUTED_VALUE"""),"")</f>
        <v/>
      </c>
      <c r="E936" s="55" t="str">
        <f ca="1">IFERROR(__xludf.DUMMYFUNCTION("""COMPUTED_VALUE"""),"")</f>
        <v/>
      </c>
      <c r="F936" s="54" t="str">
        <f ca="1">IFERROR(__xludf.DUMMYFUNCTION("""COMPUTED_VALUE"""),"")</f>
        <v/>
      </c>
      <c r="G936" s="38" t="str">
        <f ca="1">IFERROR(__xludf.DUMMYFUNCTION("""COMPUTED_VALUE"""),"")</f>
        <v/>
      </c>
      <c r="H936" s="38" t="str">
        <f ca="1">IFERROR(__xludf.DUMMYFUNCTION("""COMPUTED_VALUE"""),"")</f>
        <v/>
      </c>
    </row>
    <row r="937" spans="1:8" ht="12.75">
      <c r="A937" s="36" t="str">
        <f ca="1">IFERROR(__xludf.DUMMYFUNCTION("""COMPUTED_VALUE"""),"")</f>
        <v/>
      </c>
      <c r="B937" s="38"/>
      <c r="C937" s="54" t="str">
        <f ca="1">IFERROR(__xludf.DUMMYFUNCTION("""COMPUTED_VALUE"""),"")</f>
        <v/>
      </c>
      <c r="D937" s="54" t="str">
        <f ca="1">IFERROR(__xludf.DUMMYFUNCTION("""COMPUTED_VALUE"""),"")</f>
        <v/>
      </c>
      <c r="E937" s="55" t="str">
        <f ca="1">IFERROR(__xludf.DUMMYFUNCTION("""COMPUTED_VALUE"""),"")</f>
        <v/>
      </c>
      <c r="F937" s="54" t="str">
        <f ca="1">IFERROR(__xludf.DUMMYFUNCTION("""COMPUTED_VALUE"""),"")</f>
        <v/>
      </c>
      <c r="G937" s="38" t="str">
        <f ca="1">IFERROR(__xludf.DUMMYFUNCTION("""COMPUTED_VALUE"""),"")</f>
        <v/>
      </c>
      <c r="H937" s="38" t="str">
        <f ca="1">IFERROR(__xludf.DUMMYFUNCTION("""COMPUTED_VALUE"""),"")</f>
        <v/>
      </c>
    </row>
    <row r="938" spans="1:8" ht="12.75">
      <c r="A938" s="36" t="str">
        <f ca="1">IFERROR(__xludf.DUMMYFUNCTION("""COMPUTED_VALUE"""),"")</f>
        <v/>
      </c>
      <c r="B938" s="38"/>
      <c r="C938" s="54" t="str">
        <f ca="1">IFERROR(__xludf.DUMMYFUNCTION("""COMPUTED_VALUE"""),"")</f>
        <v/>
      </c>
      <c r="D938" s="54" t="str">
        <f ca="1">IFERROR(__xludf.DUMMYFUNCTION("""COMPUTED_VALUE"""),"")</f>
        <v/>
      </c>
      <c r="E938" s="55" t="str">
        <f ca="1">IFERROR(__xludf.DUMMYFUNCTION("""COMPUTED_VALUE"""),"")</f>
        <v/>
      </c>
      <c r="F938" s="54" t="str">
        <f ca="1">IFERROR(__xludf.DUMMYFUNCTION("""COMPUTED_VALUE"""),"")</f>
        <v/>
      </c>
      <c r="G938" s="38" t="str">
        <f ca="1">IFERROR(__xludf.DUMMYFUNCTION("""COMPUTED_VALUE"""),"")</f>
        <v/>
      </c>
      <c r="H938" s="38" t="str">
        <f ca="1">IFERROR(__xludf.DUMMYFUNCTION("""COMPUTED_VALUE"""),"")</f>
        <v/>
      </c>
    </row>
    <row r="939" spans="1:8" ht="12.75">
      <c r="A939" s="36" t="str">
        <f ca="1">IFERROR(__xludf.DUMMYFUNCTION("""COMPUTED_VALUE"""),"")</f>
        <v/>
      </c>
      <c r="B939" s="38"/>
      <c r="C939" s="54" t="str">
        <f ca="1">IFERROR(__xludf.DUMMYFUNCTION("""COMPUTED_VALUE"""),"")</f>
        <v/>
      </c>
      <c r="D939" s="54" t="str">
        <f ca="1">IFERROR(__xludf.DUMMYFUNCTION("""COMPUTED_VALUE"""),"")</f>
        <v/>
      </c>
      <c r="E939" s="55" t="str">
        <f ca="1">IFERROR(__xludf.DUMMYFUNCTION("""COMPUTED_VALUE"""),"")</f>
        <v/>
      </c>
      <c r="F939" s="54" t="str">
        <f ca="1">IFERROR(__xludf.DUMMYFUNCTION("""COMPUTED_VALUE"""),"")</f>
        <v/>
      </c>
      <c r="G939" s="38" t="str">
        <f ca="1">IFERROR(__xludf.DUMMYFUNCTION("""COMPUTED_VALUE"""),"")</f>
        <v/>
      </c>
      <c r="H939" s="38" t="str">
        <f ca="1">IFERROR(__xludf.DUMMYFUNCTION("""COMPUTED_VALUE"""),"")</f>
        <v/>
      </c>
    </row>
    <row r="940" spans="1:8" ht="12.75">
      <c r="A940" s="36" t="str">
        <f ca="1">IFERROR(__xludf.DUMMYFUNCTION("""COMPUTED_VALUE"""),"")</f>
        <v/>
      </c>
      <c r="B940" s="38"/>
      <c r="C940" s="54" t="str">
        <f ca="1">IFERROR(__xludf.DUMMYFUNCTION("""COMPUTED_VALUE"""),"")</f>
        <v/>
      </c>
      <c r="D940" s="54" t="str">
        <f ca="1">IFERROR(__xludf.DUMMYFUNCTION("""COMPUTED_VALUE"""),"")</f>
        <v/>
      </c>
      <c r="E940" s="55" t="str">
        <f ca="1">IFERROR(__xludf.DUMMYFUNCTION("""COMPUTED_VALUE"""),"")</f>
        <v/>
      </c>
      <c r="F940" s="54" t="str">
        <f ca="1">IFERROR(__xludf.DUMMYFUNCTION("""COMPUTED_VALUE"""),"")</f>
        <v/>
      </c>
      <c r="G940" s="38" t="str">
        <f ca="1">IFERROR(__xludf.DUMMYFUNCTION("""COMPUTED_VALUE"""),"")</f>
        <v/>
      </c>
      <c r="H940" s="38" t="str">
        <f ca="1">IFERROR(__xludf.DUMMYFUNCTION("""COMPUTED_VALUE"""),"")</f>
        <v/>
      </c>
    </row>
    <row r="941" spans="1:8" ht="12.75">
      <c r="A941" s="36" t="str">
        <f ca="1">IFERROR(__xludf.DUMMYFUNCTION("""COMPUTED_VALUE"""),"")</f>
        <v/>
      </c>
      <c r="B941" s="38"/>
      <c r="C941" s="54" t="str">
        <f ca="1">IFERROR(__xludf.DUMMYFUNCTION("""COMPUTED_VALUE"""),"")</f>
        <v/>
      </c>
      <c r="D941" s="54" t="str">
        <f ca="1">IFERROR(__xludf.DUMMYFUNCTION("""COMPUTED_VALUE"""),"")</f>
        <v/>
      </c>
      <c r="E941" s="55" t="str">
        <f ca="1">IFERROR(__xludf.DUMMYFUNCTION("""COMPUTED_VALUE"""),"")</f>
        <v/>
      </c>
      <c r="F941" s="54" t="str">
        <f ca="1">IFERROR(__xludf.DUMMYFUNCTION("""COMPUTED_VALUE"""),"")</f>
        <v/>
      </c>
      <c r="G941" s="38" t="str">
        <f ca="1">IFERROR(__xludf.DUMMYFUNCTION("""COMPUTED_VALUE"""),"")</f>
        <v/>
      </c>
      <c r="H941" s="38" t="str">
        <f ca="1">IFERROR(__xludf.DUMMYFUNCTION("""COMPUTED_VALUE"""),"")</f>
        <v/>
      </c>
    </row>
    <row r="942" spans="1:8" ht="12.75">
      <c r="A942" s="36" t="str">
        <f ca="1">IFERROR(__xludf.DUMMYFUNCTION("""COMPUTED_VALUE"""),"")</f>
        <v/>
      </c>
      <c r="B942" s="38"/>
      <c r="C942" s="54" t="str">
        <f ca="1">IFERROR(__xludf.DUMMYFUNCTION("""COMPUTED_VALUE"""),"")</f>
        <v/>
      </c>
      <c r="D942" s="54" t="str">
        <f ca="1">IFERROR(__xludf.DUMMYFUNCTION("""COMPUTED_VALUE"""),"")</f>
        <v/>
      </c>
      <c r="E942" s="55" t="str">
        <f ca="1">IFERROR(__xludf.DUMMYFUNCTION("""COMPUTED_VALUE"""),"")</f>
        <v/>
      </c>
      <c r="F942" s="54" t="str">
        <f ca="1">IFERROR(__xludf.DUMMYFUNCTION("""COMPUTED_VALUE"""),"")</f>
        <v/>
      </c>
      <c r="G942" s="38" t="str">
        <f ca="1">IFERROR(__xludf.DUMMYFUNCTION("""COMPUTED_VALUE"""),"")</f>
        <v/>
      </c>
      <c r="H942" s="38" t="str">
        <f ca="1">IFERROR(__xludf.DUMMYFUNCTION("""COMPUTED_VALUE"""),"")</f>
        <v/>
      </c>
    </row>
    <row r="943" spans="1:8" ht="12.75">
      <c r="A943" s="36" t="str">
        <f ca="1">IFERROR(__xludf.DUMMYFUNCTION("""COMPUTED_VALUE"""),"")</f>
        <v/>
      </c>
      <c r="B943" s="38"/>
      <c r="C943" s="54" t="str">
        <f ca="1">IFERROR(__xludf.DUMMYFUNCTION("""COMPUTED_VALUE"""),"")</f>
        <v/>
      </c>
      <c r="D943" s="54" t="str">
        <f ca="1">IFERROR(__xludf.DUMMYFUNCTION("""COMPUTED_VALUE"""),"")</f>
        <v/>
      </c>
      <c r="E943" s="55" t="str">
        <f ca="1">IFERROR(__xludf.DUMMYFUNCTION("""COMPUTED_VALUE"""),"")</f>
        <v/>
      </c>
      <c r="F943" s="54" t="str">
        <f ca="1">IFERROR(__xludf.DUMMYFUNCTION("""COMPUTED_VALUE"""),"")</f>
        <v/>
      </c>
      <c r="G943" s="38" t="str">
        <f ca="1">IFERROR(__xludf.DUMMYFUNCTION("""COMPUTED_VALUE"""),"")</f>
        <v/>
      </c>
      <c r="H943" s="38" t="str">
        <f ca="1">IFERROR(__xludf.DUMMYFUNCTION("""COMPUTED_VALUE"""),"")</f>
        <v/>
      </c>
    </row>
    <row r="944" spans="1:8" ht="12.75">
      <c r="A944" s="36" t="str">
        <f ca="1">IFERROR(__xludf.DUMMYFUNCTION("""COMPUTED_VALUE"""),"")</f>
        <v/>
      </c>
      <c r="B944" s="38"/>
      <c r="C944" s="54" t="str">
        <f ca="1">IFERROR(__xludf.DUMMYFUNCTION("""COMPUTED_VALUE"""),"")</f>
        <v/>
      </c>
      <c r="D944" s="54" t="str">
        <f ca="1">IFERROR(__xludf.DUMMYFUNCTION("""COMPUTED_VALUE"""),"")</f>
        <v/>
      </c>
      <c r="E944" s="55" t="str">
        <f ca="1">IFERROR(__xludf.DUMMYFUNCTION("""COMPUTED_VALUE"""),"")</f>
        <v/>
      </c>
      <c r="F944" s="54" t="str">
        <f ca="1">IFERROR(__xludf.DUMMYFUNCTION("""COMPUTED_VALUE"""),"")</f>
        <v/>
      </c>
      <c r="G944" s="38" t="str">
        <f ca="1">IFERROR(__xludf.DUMMYFUNCTION("""COMPUTED_VALUE"""),"")</f>
        <v/>
      </c>
      <c r="H944" s="38" t="str">
        <f ca="1">IFERROR(__xludf.DUMMYFUNCTION("""COMPUTED_VALUE"""),"")</f>
        <v/>
      </c>
    </row>
    <row r="945" spans="1:8" ht="12.75">
      <c r="A945" s="36" t="str">
        <f ca="1">IFERROR(__xludf.DUMMYFUNCTION("""COMPUTED_VALUE"""),"")</f>
        <v/>
      </c>
      <c r="B945" s="38"/>
      <c r="C945" s="54" t="str">
        <f ca="1">IFERROR(__xludf.DUMMYFUNCTION("""COMPUTED_VALUE"""),"")</f>
        <v/>
      </c>
      <c r="D945" s="54" t="str">
        <f ca="1">IFERROR(__xludf.DUMMYFUNCTION("""COMPUTED_VALUE"""),"")</f>
        <v/>
      </c>
      <c r="E945" s="55" t="str">
        <f ca="1">IFERROR(__xludf.DUMMYFUNCTION("""COMPUTED_VALUE"""),"")</f>
        <v/>
      </c>
      <c r="F945" s="54" t="str">
        <f ca="1">IFERROR(__xludf.DUMMYFUNCTION("""COMPUTED_VALUE"""),"")</f>
        <v/>
      </c>
      <c r="G945" s="38" t="str">
        <f ca="1">IFERROR(__xludf.DUMMYFUNCTION("""COMPUTED_VALUE"""),"")</f>
        <v/>
      </c>
      <c r="H945" s="38" t="str">
        <f ca="1">IFERROR(__xludf.DUMMYFUNCTION("""COMPUTED_VALUE"""),"")</f>
        <v/>
      </c>
    </row>
    <row r="946" spans="1:8" ht="12.75">
      <c r="A946" s="36" t="str">
        <f ca="1">IFERROR(__xludf.DUMMYFUNCTION("""COMPUTED_VALUE"""),"")</f>
        <v/>
      </c>
      <c r="B946" s="38"/>
      <c r="C946" s="54" t="str">
        <f ca="1">IFERROR(__xludf.DUMMYFUNCTION("""COMPUTED_VALUE"""),"")</f>
        <v/>
      </c>
      <c r="D946" s="54" t="str">
        <f ca="1">IFERROR(__xludf.DUMMYFUNCTION("""COMPUTED_VALUE"""),"")</f>
        <v/>
      </c>
      <c r="E946" s="55" t="str">
        <f ca="1">IFERROR(__xludf.DUMMYFUNCTION("""COMPUTED_VALUE"""),"")</f>
        <v/>
      </c>
      <c r="F946" s="54" t="str">
        <f ca="1">IFERROR(__xludf.DUMMYFUNCTION("""COMPUTED_VALUE"""),"")</f>
        <v/>
      </c>
      <c r="G946" s="38" t="str">
        <f ca="1">IFERROR(__xludf.DUMMYFUNCTION("""COMPUTED_VALUE"""),"")</f>
        <v/>
      </c>
      <c r="H946" s="38" t="str">
        <f ca="1">IFERROR(__xludf.DUMMYFUNCTION("""COMPUTED_VALUE"""),"")</f>
        <v/>
      </c>
    </row>
    <row r="947" spans="1:8" ht="12.75">
      <c r="A947" s="36" t="str">
        <f ca="1">IFERROR(__xludf.DUMMYFUNCTION("""COMPUTED_VALUE"""),"")</f>
        <v/>
      </c>
      <c r="B947" s="38"/>
      <c r="C947" s="54" t="str">
        <f ca="1">IFERROR(__xludf.DUMMYFUNCTION("""COMPUTED_VALUE"""),"")</f>
        <v/>
      </c>
      <c r="D947" s="54" t="str">
        <f ca="1">IFERROR(__xludf.DUMMYFUNCTION("""COMPUTED_VALUE"""),"")</f>
        <v/>
      </c>
      <c r="E947" s="55" t="str">
        <f ca="1">IFERROR(__xludf.DUMMYFUNCTION("""COMPUTED_VALUE"""),"")</f>
        <v/>
      </c>
      <c r="F947" s="54" t="str">
        <f ca="1">IFERROR(__xludf.DUMMYFUNCTION("""COMPUTED_VALUE"""),"")</f>
        <v/>
      </c>
      <c r="G947" s="38" t="str">
        <f ca="1">IFERROR(__xludf.DUMMYFUNCTION("""COMPUTED_VALUE"""),"")</f>
        <v/>
      </c>
      <c r="H947" s="38" t="str">
        <f ca="1">IFERROR(__xludf.DUMMYFUNCTION("""COMPUTED_VALUE"""),"")</f>
        <v/>
      </c>
    </row>
    <row r="948" spans="1:8" ht="12.75">
      <c r="A948" s="36" t="str">
        <f ca="1">IFERROR(__xludf.DUMMYFUNCTION("""COMPUTED_VALUE"""),"")</f>
        <v/>
      </c>
      <c r="B948" s="38"/>
      <c r="C948" s="54" t="str">
        <f ca="1">IFERROR(__xludf.DUMMYFUNCTION("""COMPUTED_VALUE"""),"")</f>
        <v/>
      </c>
      <c r="D948" s="54" t="str">
        <f ca="1">IFERROR(__xludf.DUMMYFUNCTION("""COMPUTED_VALUE"""),"")</f>
        <v/>
      </c>
      <c r="E948" s="55" t="str">
        <f ca="1">IFERROR(__xludf.DUMMYFUNCTION("""COMPUTED_VALUE"""),"")</f>
        <v/>
      </c>
      <c r="F948" s="54" t="str">
        <f ca="1">IFERROR(__xludf.DUMMYFUNCTION("""COMPUTED_VALUE"""),"")</f>
        <v/>
      </c>
      <c r="G948" s="38" t="str">
        <f ca="1">IFERROR(__xludf.DUMMYFUNCTION("""COMPUTED_VALUE"""),"")</f>
        <v/>
      </c>
      <c r="H948" s="38" t="str">
        <f ca="1">IFERROR(__xludf.DUMMYFUNCTION("""COMPUTED_VALUE"""),"")</f>
        <v/>
      </c>
    </row>
    <row r="949" spans="1:8" ht="12.75">
      <c r="A949" s="36" t="str">
        <f ca="1">IFERROR(__xludf.DUMMYFUNCTION("""COMPUTED_VALUE"""),"")</f>
        <v/>
      </c>
      <c r="B949" s="38"/>
      <c r="C949" s="54" t="str">
        <f ca="1">IFERROR(__xludf.DUMMYFUNCTION("""COMPUTED_VALUE"""),"")</f>
        <v/>
      </c>
      <c r="D949" s="54" t="str">
        <f ca="1">IFERROR(__xludf.DUMMYFUNCTION("""COMPUTED_VALUE"""),"")</f>
        <v/>
      </c>
      <c r="E949" s="55" t="str">
        <f ca="1">IFERROR(__xludf.DUMMYFUNCTION("""COMPUTED_VALUE"""),"")</f>
        <v/>
      </c>
      <c r="F949" s="54" t="str">
        <f ca="1">IFERROR(__xludf.DUMMYFUNCTION("""COMPUTED_VALUE"""),"")</f>
        <v/>
      </c>
      <c r="G949" s="38" t="str">
        <f ca="1">IFERROR(__xludf.DUMMYFUNCTION("""COMPUTED_VALUE"""),"")</f>
        <v/>
      </c>
      <c r="H949" s="38" t="str">
        <f ca="1">IFERROR(__xludf.DUMMYFUNCTION("""COMPUTED_VALUE"""),"")</f>
        <v/>
      </c>
    </row>
    <row r="950" spans="1:8" ht="12.75">
      <c r="A950" s="36" t="str">
        <f ca="1">IFERROR(__xludf.DUMMYFUNCTION("""COMPUTED_VALUE"""),"")</f>
        <v/>
      </c>
      <c r="B950" s="38"/>
      <c r="C950" s="54" t="str">
        <f ca="1">IFERROR(__xludf.DUMMYFUNCTION("""COMPUTED_VALUE"""),"")</f>
        <v/>
      </c>
      <c r="D950" s="54" t="str">
        <f ca="1">IFERROR(__xludf.DUMMYFUNCTION("""COMPUTED_VALUE"""),"")</f>
        <v/>
      </c>
      <c r="E950" s="55" t="str">
        <f ca="1">IFERROR(__xludf.DUMMYFUNCTION("""COMPUTED_VALUE"""),"")</f>
        <v/>
      </c>
      <c r="F950" s="54" t="str">
        <f ca="1">IFERROR(__xludf.DUMMYFUNCTION("""COMPUTED_VALUE"""),"")</f>
        <v/>
      </c>
      <c r="G950" s="38" t="str">
        <f ca="1">IFERROR(__xludf.DUMMYFUNCTION("""COMPUTED_VALUE"""),"")</f>
        <v/>
      </c>
      <c r="H950" s="38" t="str">
        <f ca="1">IFERROR(__xludf.DUMMYFUNCTION("""COMPUTED_VALUE"""),"")</f>
        <v/>
      </c>
    </row>
    <row r="951" spans="1:8" ht="12.75">
      <c r="A951" s="36" t="str">
        <f ca="1">IFERROR(__xludf.DUMMYFUNCTION("""COMPUTED_VALUE"""),"")</f>
        <v/>
      </c>
      <c r="B951" s="38"/>
      <c r="C951" s="54" t="str">
        <f ca="1">IFERROR(__xludf.DUMMYFUNCTION("""COMPUTED_VALUE"""),"")</f>
        <v/>
      </c>
      <c r="D951" s="54" t="str">
        <f ca="1">IFERROR(__xludf.DUMMYFUNCTION("""COMPUTED_VALUE"""),"")</f>
        <v/>
      </c>
      <c r="E951" s="55" t="str">
        <f ca="1">IFERROR(__xludf.DUMMYFUNCTION("""COMPUTED_VALUE"""),"")</f>
        <v/>
      </c>
      <c r="F951" s="54" t="str">
        <f ca="1">IFERROR(__xludf.DUMMYFUNCTION("""COMPUTED_VALUE"""),"")</f>
        <v/>
      </c>
      <c r="G951" s="38" t="str">
        <f ca="1">IFERROR(__xludf.DUMMYFUNCTION("""COMPUTED_VALUE"""),"")</f>
        <v/>
      </c>
      <c r="H951" s="38" t="str">
        <f ca="1">IFERROR(__xludf.DUMMYFUNCTION("""COMPUTED_VALUE"""),"")</f>
        <v/>
      </c>
    </row>
    <row r="952" spans="1:8" ht="12.75">
      <c r="A952" s="36" t="str">
        <f ca="1">IFERROR(__xludf.DUMMYFUNCTION("""COMPUTED_VALUE"""),"")</f>
        <v/>
      </c>
      <c r="B952" s="38"/>
      <c r="C952" s="54" t="str">
        <f ca="1">IFERROR(__xludf.DUMMYFUNCTION("""COMPUTED_VALUE"""),"")</f>
        <v/>
      </c>
      <c r="D952" s="54" t="str">
        <f ca="1">IFERROR(__xludf.DUMMYFUNCTION("""COMPUTED_VALUE"""),"")</f>
        <v/>
      </c>
      <c r="E952" s="55" t="str">
        <f ca="1">IFERROR(__xludf.DUMMYFUNCTION("""COMPUTED_VALUE"""),"")</f>
        <v/>
      </c>
      <c r="F952" s="54" t="str">
        <f ca="1">IFERROR(__xludf.DUMMYFUNCTION("""COMPUTED_VALUE"""),"")</f>
        <v/>
      </c>
      <c r="G952" s="38" t="str">
        <f ca="1">IFERROR(__xludf.DUMMYFUNCTION("""COMPUTED_VALUE"""),"")</f>
        <v/>
      </c>
      <c r="H952" s="38" t="str">
        <f ca="1">IFERROR(__xludf.DUMMYFUNCTION("""COMPUTED_VALUE"""),"")</f>
        <v/>
      </c>
    </row>
    <row r="953" spans="1:8" ht="12.75">
      <c r="A953" s="36" t="str">
        <f ca="1">IFERROR(__xludf.DUMMYFUNCTION("""COMPUTED_VALUE"""),"")</f>
        <v/>
      </c>
      <c r="B953" s="38"/>
      <c r="C953" s="54" t="str">
        <f ca="1">IFERROR(__xludf.DUMMYFUNCTION("""COMPUTED_VALUE"""),"")</f>
        <v/>
      </c>
      <c r="D953" s="54" t="str">
        <f ca="1">IFERROR(__xludf.DUMMYFUNCTION("""COMPUTED_VALUE"""),"")</f>
        <v/>
      </c>
      <c r="E953" s="55" t="str">
        <f ca="1">IFERROR(__xludf.DUMMYFUNCTION("""COMPUTED_VALUE"""),"")</f>
        <v/>
      </c>
      <c r="F953" s="54" t="str">
        <f ca="1">IFERROR(__xludf.DUMMYFUNCTION("""COMPUTED_VALUE"""),"")</f>
        <v/>
      </c>
      <c r="G953" s="38" t="str">
        <f ca="1">IFERROR(__xludf.DUMMYFUNCTION("""COMPUTED_VALUE"""),"")</f>
        <v/>
      </c>
      <c r="H953" s="38" t="str">
        <f ca="1">IFERROR(__xludf.DUMMYFUNCTION("""COMPUTED_VALUE"""),"")</f>
        <v/>
      </c>
    </row>
    <row r="954" spans="1:8" ht="12.75">
      <c r="A954" s="36" t="str">
        <f ca="1">IFERROR(__xludf.DUMMYFUNCTION("""COMPUTED_VALUE"""),"")</f>
        <v/>
      </c>
      <c r="B954" s="38"/>
      <c r="C954" s="54" t="str">
        <f ca="1">IFERROR(__xludf.DUMMYFUNCTION("""COMPUTED_VALUE"""),"")</f>
        <v/>
      </c>
      <c r="D954" s="54" t="str">
        <f ca="1">IFERROR(__xludf.DUMMYFUNCTION("""COMPUTED_VALUE"""),"")</f>
        <v/>
      </c>
      <c r="E954" s="55" t="str">
        <f ca="1">IFERROR(__xludf.DUMMYFUNCTION("""COMPUTED_VALUE"""),"")</f>
        <v/>
      </c>
      <c r="F954" s="54" t="str">
        <f ca="1">IFERROR(__xludf.DUMMYFUNCTION("""COMPUTED_VALUE"""),"")</f>
        <v/>
      </c>
      <c r="G954" s="38" t="str">
        <f ca="1">IFERROR(__xludf.DUMMYFUNCTION("""COMPUTED_VALUE"""),"")</f>
        <v/>
      </c>
      <c r="H954" s="38" t="str">
        <f ca="1">IFERROR(__xludf.DUMMYFUNCTION("""COMPUTED_VALUE"""),"")</f>
        <v/>
      </c>
    </row>
    <row r="955" spans="1:8" ht="12.75">
      <c r="A955" s="36" t="str">
        <f ca="1">IFERROR(__xludf.DUMMYFUNCTION("""COMPUTED_VALUE"""),"")</f>
        <v/>
      </c>
      <c r="B955" s="38"/>
      <c r="C955" s="54" t="str">
        <f ca="1">IFERROR(__xludf.DUMMYFUNCTION("""COMPUTED_VALUE"""),"")</f>
        <v/>
      </c>
      <c r="D955" s="54" t="str">
        <f ca="1">IFERROR(__xludf.DUMMYFUNCTION("""COMPUTED_VALUE"""),"")</f>
        <v/>
      </c>
      <c r="E955" s="55" t="str">
        <f ca="1">IFERROR(__xludf.DUMMYFUNCTION("""COMPUTED_VALUE"""),"")</f>
        <v/>
      </c>
      <c r="F955" s="54" t="str">
        <f ca="1">IFERROR(__xludf.DUMMYFUNCTION("""COMPUTED_VALUE"""),"")</f>
        <v/>
      </c>
      <c r="G955" s="38" t="str">
        <f ca="1">IFERROR(__xludf.DUMMYFUNCTION("""COMPUTED_VALUE"""),"")</f>
        <v/>
      </c>
      <c r="H955" s="38" t="str">
        <f ca="1">IFERROR(__xludf.DUMMYFUNCTION("""COMPUTED_VALUE"""),"")</f>
        <v/>
      </c>
    </row>
    <row r="956" spans="1:8" ht="12.75">
      <c r="A956" s="36" t="str">
        <f ca="1">IFERROR(__xludf.DUMMYFUNCTION("""COMPUTED_VALUE"""),"")</f>
        <v/>
      </c>
      <c r="B956" s="38"/>
      <c r="C956" s="54" t="str">
        <f ca="1">IFERROR(__xludf.DUMMYFUNCTION("""COMPUTED_VALUE"""),"")</f>
        <v/>
      </c>
      <c r="D956" s="54" t="str">
        <f ca="1">IFERROR(__xludf.DUMMYFUNCTION("""COMPUTED_VALUE"""),"")</f>
        <v/>
      </c>
      <c r="E956" s="55" t="str">
        <f ca="1">IFERROR(__xludf.DUMMYFUNCTION("""COMPUTED_VALUE"""),"")</f>
        <v/>
      </c>
      <c r="F956" s="54" t="str">
        <f ca="1">IFERROR(__xludf.DUMMYFUNCTION("""COMPUTED_VALUE"""),"")</f>
        <v/>
      </c>
      <c r="G956" s="38" t="str">
        <f ca="1">IFERROR(__xludf.DUMMYFUNCTION("""COMPUTED_VALUE"""),"")</f>
        <v/>
      </c>
      <c r="H956" s="38" t="str">
        <f ca="1">IFERROR(__xludf.DUMMYFUNCTION("""COMPUTED_VALUE"""),"")</f>
        <v/>
      </c>
    </row>
    <row r="957" spans="1:8" ht="12.75">
      <c r="A957" s="36" t="str">
        <f ca="1">IFERROR(__xludf.DUMMYFUNCTION("""COMPUTED_VALUE"""),"")</f>
        <v/>
      </c>
      <c r="B957" s="38"/>
      <c r="C957" s="54" t="str">
        <f ca="1">IFERROR(__xludf.DUMMYFUNCTION("""COMPUTED_VALUE"""),"")</f>
        <v/>
      </c>
      <c r="D957" s="54" t="str">
        <f ca="1">IFERROR(__xludf.DUMMYFUNCTION("""COMPUTED_VALUE"""),"")</f>
        <v/>
      </c>
      <c r="E957" s="55" t="str">
        <f ca="1">IFERROR(__xludf.DUMMYFUNCTION("""COMPUTED_VALUE"""),"")</f>
        <v/>
      </c>
      <c r="F957" s="54" t="str">
        <f ca="1">IFERROR(__xludf.DUMMYFUNCTION("""COMPUTED_VALUE"""),"")</f>
        <v/>
      </c>
      <c r="G957" s="38" t="str">
        <f ca="1">IFERROR(__xludf.DUMMYFUNCTION("""COMPUTED_VALUE"""),"")</f>
        <v/>
      </c>
      <c r="H957" s="38" t="str">
        <f ca="1">IFERROR(__xludf.DUMMYFUNCTION("""COMPUTED_VALUE"""),"")</f>
        <v/>
      </c>
    </row>
    <row r="958" spans="1:8" ht="12.75">
      <c r="A958" s="36" t="str">
        <f ca="1">IFERROR(__xludf.DUMMYFUNCTION("""COMPUTED_VALUE"""),"")</f>
        <v/>
      </c>
      <c r="B958" s="38"/>
      <c r="C958" s="54" t="str">
        <f ca="1">IFERROR(__xludf.DUMMYFUNCTION("""COMPUTED_VALUE"""),"")</f>
        <v/>
      </c>
      <c r="D958" s="54" t="str">
        <f ca="1">IFERROR(__xludf.DUMMYFUNCTION("""COMPUTED_VALUE"""),"")</f>
        <v/>
      </c>
      <c r="E958" s="55" t="str">
        <f ca="1">IFERROR(__xludf.DUMMYFUNCTION("""COMPUTED_VALUE"""),"")</f>
        <v/>
      </c>
      <c r="F958" s="54" t="str">
        <f ca="1">IFERROR(__xludf.DUMMYFUNCTION("""COMPUTED_VALUE"""),"")</f>
        <v/>
      </c>
      <c r="G958" s="38" t="str">
        <f ca="1">IFERROR(__xludf.DUMMYFUNCTION("""COMPUTED_VALUE"""),"")</f>
        <v/>
      </c>
      <c r="H958" s="38" t="str">
        <f ca="1">IFERROR(__xludf.DUMMYFUNCTION("""COMPUTED_VALUE"""),"")</f>
        <v/>
      </c>
    </row>
    <row r="959" spans="1:8" ht="12.75">
      <c r="A959" s="36" t="str">
        <f ca="1">IFERROR(__xludf.DUMMYFUNCTION("""COMPUTED_VALUE"""),"")</f>
        <v/>
      </c>
      <c r="B959" s="38"/>
      <c r="C959" s="54" t="str">
        <f ca="1">IFERROR(__xludf.DUMMYFUNCTION("""COMPUTED_VALUE"""),"")</f>
        <v/>
      </c>
      <c r="D959" s="54" t="str">
        <f ca="1">IFERROR(__xludf.DUMMYFUNCTION("""COMPUTED_VALUE"""),"")</f>
        <v/>
      </c>
      <c r="E959" s="55" t="str">
        <f ca="1">IFERROR(__xludf.DUMMYFUNCTION("""COMPUTED_VALUE"""),"")</f>
        <v/>
      </c>
      <c r="F959" s="54" t="str">
        <f ca="1">IFERROR(__xludf.DUMMYFUNCTION("""COMPUTED_VALUE"""),"")</f>
        <v/>
      </c>
      <c r="G959" s="38" t="str">
        <f ca="1">IFERROR(__xludf.DUMMYFUNCTION("""COMPUTED_VALUE"""),"")</f>
        <v/>
      </c>
      <c r="H959" s="38" t="str">
        <f ca="1">IFERROR(__xludf.DUMMYFUNCTION("""COMPUTED_VALUE"""),"")</f>
        <v/>
      </c>
    </row>
    <row r="960" spans="1:8" ht="12.75">
      <c r="A960" s="36" t="str">
        <f ca="1">IFERROR(__xludf.DUMMYFUNCTION("""COMPUTED_VALUE"""),"")</f>
        <v/>
      </c>
      <c r="B960" s="38"/>
      <c r="C960" s="54" t="str">
        <f ca="1">IFERROR(__xludf.DUMMYFUNCTION("""COMPUTED_VALUE"""),"")</f>
        <v/>
      </c>
      <c r="D960" s="54" t="str">
        <f ca="1">IFERROR(__xludf.DUMMYFUNCTION("""COMPUTED_VALUE"""),"")</f>
        <v/>
      </c>
      <c r="E960" s="55" t="str">
        <f ca="1">IFERROR(__xludf.DUMMYFUNCTION("""COMPUTED_VALUE"""),"")</f>
        <v/>
      </c>
      <c r="F960" s="54" t="str">
        <f ca="1">IFERROR(__xludf.DUMMYFUNCTION("""COMPUTED_VALUE"""),"")</f>
        <v/>
      </c>
      <c r="G960" s="38" t="str">
        <f ca="1">IFERROR(__xludf.DUMMYFUNCTION("""COMPUTED_VALUE"""),"")</f>
        <v/>
      </c>
      <c r="H960" s="38" t="str">
        <f ca="1">IFERROR(__xludf.DUMMYFUNCTION("""COMPUTED_VALUE"""),"")</f>
        <v/>
      </c>
    </row>
    <row r="961" spans="1:8" ht="12.75">
      <c r="A961" s="36" t="str">
        <f ca="1">IFERROR(__xludf.DUMMYFUNCTION("""COMPUTED_VALUE"""),"")</f>
        <v/>
      </c>
      <c r="B961" s="38"/>
      <c r="C961" s="54" t="str">
        <f ca="1">IFERROR(__xludf.DUMMYFUNCTION("""COMPUTED_VALUE"""),"")</f>
        <v/>
      </c>
      <c r="D961" s="54" t="str">
        <f ca="1">IFERROR(__xludf.DUMMYFUNCTION("""COMPUTED_VALUE"""),"")</f>
        <v/>
      </c>
      <c r="E961" s="55" t="str">
        <f ca="1">IFERROR(__xludf.DUMMYFUNCTION("""COMPUTED_VALUE"""),"")</f>
        <v/>
      </c>
      <c r="F961" s="54" t="str">
        <f ca="1">IFERROR(__xludf.DUMMYFUNCTION("""COMPUTED_VALUE"""),"")</f>
        <v/>
      </c>
      <c r="G961" s="38" t="str">
        <f ca="1">IFERROR(__xludf.DUMMYFUNCTION("""COMPUTED_VALUE"""),"")</f>
        <v/>
      </c>
      <c r="H961" s="38" t="str">
        <f ca="1">IFERROR(__xludf.DUMMYFUNCTION("""COMPUTED_VALUE"""),"")</f>
        <v/>
      </c>
    </row>
    <row r="962" spans="1:8" ht="12.75">
      <c r="A962" s="36" t="str">
        <f ca="1">IFERROR(__xludf.DUMMYFUNCTION("""COMPUTED_VALUE"""),"")</f>
        <v/>
      </c>
      <c r="B962" s="38"/>
      <c r="C962" s="54" t="str">
        <f ca="1">IFERROR(__xludf.DUMMYFUNCTION("""COMPUTED_VALUE"""),"")</f>
        <v/>
      </c>
      <c r="D962" s="54" t="str">
        <f ca="1">IFERROR(__xludf.DUMMYFUNCTION("""COMPUTED_VALUE"""),"")</f>
        <v/>
      </c>
      <c r="E962" s="55" t="str">
        <f ca="1">IFERROR(__xludf.DUMMYFUNCTION("""COMPUTED_VALUE"""),"")</f>
        <v/>
      </c>
      <c r="F962" s="54" t="str">
        <f ca="1">IFERROR(__xludf.DUMMYFUNCTION("""COMPUTED_VALUE"""),"")</f>
        <v/>
      </c>
      <c r="G962" s="38" t="str">
        <f ca="1">IFERROR(__xludf.DUMMYFUNCTION("""COMPUTED_VALUE"""),"")</f>
        <v/>
      </c>
      <c r="H962" s="38" t="str">
        <f ca="1">IFERROR(__xludf.DUMMYFUNCTION("""COMPUTED_VALUE"""),"")</f>
        <v/>
      </c>
    </row>
    <row r="963" spans="1:8" ht="12.75">
      <c r="A963" s="36" t="str">
        <f ca="1">IFERROR(__xludf.DUMMYFUNCTION("""COMPUTED_VALUE"""),"")</f>
        <v/>
      </c>
      <c r="B963" s="38"/>
      <c r="C963" s="54" t="str">
        <f ca="1">IFERROR(__xludf.DUMMYFUNCTION("""COMPUTED_VALUE"""),"")</f>
        <v/>
      </c>
      <c r="D963" s="54" t="str">
        <f ca="1">IFERROR(__xludf.DUMMYFUNCTION("""COMPUTED_VALUE"""),"")</f>
        <v/>
      </c>
      <c r="E963" s="55" t="str">
        <f ca="1">IFERROR(__xludf.DUMMYFUNCTION("""COMPUTED_VALUE"""),"")</f>
        <v/>
      </c>
      <c r="F963" s="54" t="str">
        <f ca="1">IFERROR(__xludf.DUMMYFUNCTION("""COMPUTED_VALUE"""),"")</f>
        <v/>
      </c>
      <c r="G963" s="38" t="str">
        <f ca="1">IFERROR(__xludf.DUMMYFUNCTION("""COMPUTED_VALUE"""),"")</f>
        <v/>
      </c>
      <c r="H963" s="38" t="str">
        <f ca="1">IFERROR(__xludf.DUMMYFUNCTION("""COMPUTED_VALUE"""),"")</f>
        <v/>
      </c>
    </row>
    <row r="964" spans="1:8" ht="12.75">
      <c r="A964" s="36" t="str">
        <f ca="1">IFERROR(__xludf.DUMMYFUNCTION("""COMPUTED_VALUE"""),"")</f>
        <v/>
      </c>
      <c r="B964" s="38"/>
      <c r="C964" s="54" t="str">
        <f ca="1">IFERROR(__xludf.DUMMYFUNCTION("""COMPUTED_VALUE"""),"")</f>
        <v/>
      </c>
      <c r="D964" s="54" t="str">
        <f ca="1">IFERROR(__xludf.DUMMYFUNCTION("""COMPUTED_VALUE"""),"")</f>
        <v/>
      </c>
      <c r="E964" s="55" t="str">
        <f ca="1">IFERROR(__xludf.DUMMYFUNCTION("""COMPUTED_VALUE"""),"")</f>
        <v/>
      </c>
      <c r="F964" s="54" t="str">
        <f ca="1">IFERROR(__xludf.DUMMYFUNCTION("""COMPUTED_VALUE"""),"")</f>
        <v/>
      </c>
      <c r="G964" s="38" t="str">
        <f ca="1">IFERROR(__xludf.DUMMYFUNCTION("""COMPUTED_VALUE"""),"")</f>
        <v/>
      </c>
      <c r="H964" s="38" t="str">
        <f ca="1">IFERROR(__xludf.DUMMYFUNCTION("""COMPUTED_VALUE"""),"")</f>
        <v/>
      </c>
    </row>
    <row r="965" spans="1:8" ht="12.75">
      <c r="A965" s="36" t="str">
        <f ca="1">IFERROR(__xludf.DUMMYFUNCTION("""COMPUTED_VALUE"""),"")</f>
        <v/>
      </c>
      <c r="B965" s="38"/>
      <c r="C965" s="54" t="str">
        <f ca="1">IFERROR(__xludf.DUMMYFUNCTION("""COMPUTED_VALUE"""),"")</f>
        <v/>
      </c>
      <c r="D965" s="54" t="str">
        <f ca="1">IFERROR(__xludf.DUMMYFUNCTION("""COMPUTED_VALUE"""),"")</f>
        <v/>
      </c>
      <c r="E965" s="55" t="str">
        <f ca="1">IFERROR(__xludf.DUMMYFUNCTION("""COMPUTED_VALUE"""),"")</f>
        <v/>
      </c>
      <c r="F965" s="54" t="str">
        <f ca="1">IFERROR(__xludf.DUMMYFUNCTION("""COMPUTED_VALUE"""),"")</f>
        <v/>
      </c>
      <c r="G965" s="38" t="str">
        <f ca="1">IFERROR(__xludf.DUMMYFUNCTION("""COMPUTED_VALUE"""),"")</f>
        <v/>
      </c>
      <c r="H965" s="38" t="str">
        <f ca="1">IFERROR(__xludf.DUMMYFUNCTION("""COMPUTED_VALUE"""),"")</f>
        <v/>
      </c>
    </row>
    <row r="966" spans="1:8" ht="12.75">
      <c r="A966" s="36" t="str">
        <f ca="1">IFERROR(__xludf.DUMMYFUNCTION("""COMPUTED_VALUE"""),"")</f>
        <v/>
      </c>
      <c r="B966" s="38"/>
      <c r="C966" s="54" t="str">
        <f ca="1">IFERROR(__xludf.DUMMYFUNCTION("""COMPUTED_VALUE"""),"")</f>
        <v/>
      </c>
      <c r="D966" s="54" t="str">
        <f ca="1">IFERROR(__xludf.DUMMYFUNCTION("""COMPUTED_VALUE"""),"")</f>
        <v/>
      </c>
      <c r="E966" s="55" t="str">
        <f ca="1">IFERROR(__xludf.DUMMYFUNCTION("""COMPUTED_VALUE"""),"")</f>
        <v/>
      </c>
      <c r="F966" s="54" t="str">
        <f ca="1">IFERROR(__xludf.DUMMYFUNCTION("""COMPUTED_VALUE"""),"")</f>
        <v/>
      </c>
      <c r="G966" s="38" t="str">
        <f ca="1">IFERROR(__xludf.DUMMYFUNCTION("""COMPUTED_VALUE"""),"")</f>
        <v/>
      </c>
      <c r="H966" s="38" t="str">
        <f ca="1">IFERROR(__xludf.DUMMYFUNCTION("""COMPUTED_VALUE"""),"")</f>
        <v/>
      </c>
    </row>
    <row r="967" spans="1:8" ht="12.75">
      <c r="A967" s="36" t="str">
        <f ca="1">IFERROR(__xludf.DUMMYFUNCTION("""COMPUTED_VALUE"""),"")</f>
        <v/>
      </c>
      <c r="B967" s="38"/>
      <c r="C967" s="54" t="str">
        <f ca="1">IFERROR(__xludf.DUMMYFUNCTION("""COMPUTED_VALUE"""),"")</f>
        <v/>
      </c>
      <c r="D967" s="54" t="str">
        <f ca="1">IFERROR(__xludf.DUMMYFUNCTION("""COMPUTED_VALUE"""),"")</f>
        <v/>
      </c>
      <c r="E967" s="55" t="str">
        <f ca="1">IFERROR(__xludf.DUMMYFUNCTION("""COMPUTED_VALUE"""),"")</f>
        <v/>
      </c>
      <c r="F967" s="54" t="str">
        <f ca="1">IFERROR(__xludf.DUMMYFUNCTION("""COMPUTED_VALUE"""),"")</f>
        <v/>
      </c>
      <c r="G967" s="38" t="str">
        <f ca="1">IFERROR(__xludf.DUMMYFUNCTION("""COMPUTED_VALUE"""),"")</f>
        <v/>
      </c>
      <c r="H967" s="38" t="str">
        <f ca="1">IFERROR(__xludf.DUMMYFUNCTION("""COMPUTED_VALUE"""),"")</f>
        <v/>
      </c>
    </row>
    <row r="968" spans="1:8" ht="12.75">
      <c r="A968" s="36" t="str">
        <f ca="1">IFERROR(__xludf.DUMMYFUNCTION("""COMPUTED_VALUE"""),"")</f>
        <v/>
      </c>
      <c r="B968" s="38"/>
      <c r="C968" s="54" t="str">
        <f ca="1">IFERROR(__xludf.DUMMYFUNCTION("""COMPUTED_VALUE"""),"")</f>
        <v/>
      </c>
      <c r="D968" s="54" t="str">
        <f ca="1">IFERROR(__xludf.DUMMYFUNCTION("""COMPUTED_VALUE"""),"")</f>
        <v/>
      </c>
      <c r="E968" s="55" t="str">
        <f ca="1">IFERROR(__xludf.DUMMYFUNCTION("""COMPUTED_VALUE"""),"")</f>
        <v/>
      </c>
      <c r="F968" s="54" t="str">
        <f ca="1">IFERROR(__xludf.DUMMYFUNCTION("""COMPUTED_VALUE"""),"")</f>
        <v/>
      </c>
      <c r="G968" s="38" t="str">
        <f ca="1">IFERROR(__xludf.DUMMYFUNCTION("""COMPUTED_VALUE"""),"")</f>
        <v/>
      </c>
      <c r="H968" s="38" t="str">
        <f ca="1">IFERROR(__xludf.DUMMYFUNCTION("""COMPUTED_VALUE"""),"")</f>
        <v/>
      </c>
    </row>
    <row r="969" spans="1:8" ht="12.75">
      <c r="A969" s="36" t="str">
        <f ca="1">IFERROR(__xludf.DUMMYFUNCTION("""COMPUTED_VALUE"""),"")</f>
        <v/>
      </c>
      <c r="B969" s="38"/>
      <c r="C969" s="54" t="str">
        <f ca="1">IFERROR(__xludf.DUMMYFUNCTION("""COMPUTED_VALUE"""),"")</f>
        <v/>
      </c>
      <c r="D969" s="54" t="str">
        <f ca="1">IFERROR(__xludf.DUMMYFUNCTION("""COMPUTED_VALUE"""),"")</f>
        <v/>
      </c>
      <c r="E969" s="55" t="str">
        <f ca="1">IFERROR(__xludf.DUMMYFUNCTION("""COMPUTED_VALUE"""),"")</f>
        <v/>
      </c>
      <c r="F969" s="54" t="str">
        <f ca="1">IFERROR(__xludf.DUMMYFUNCTION("""COMPUTED_VALUE"""),"")</f>
        <v/>
      </c>
      <c r="G969" s="38" t="str">
        <f ca="1">IFERROR(__xludf.DUMMYFUNCTION("""COMPUTED_VALUE"""),"")</f>
        <v/>
      </c>
      <c r="H969" s="38" t="str">
        <f ca="1">IFERROR(__xludf.DUMMYFUNCTION("""COMPUTED_VALUE"""),"")</f>
        <v/>
      </c>
    </row>
    <row r="970" spans="1:8" ht="12.75">
      <c r="A970" s="36" t="str">
        <f ca="1">IFERROR(__xludf.DUMMYFUNCTION("""COMPUTED_VALUE"""),"")</f>
        <v/>
      </c>
      <c r="B970" s="38"/>
      <c r="C970" s="54" t="str">
        <f ca="1">IFERROR(__xludf.DUMMYFUNCTION("""COMPUTED_VALUE"""),"")</f>
        <v/>
      </c>
      <c r="D970" s="54" t="str">
        <f ca="1">IFERROR(__xludf.DUMMYFUNCTION("""COMPUTED_VALUE"""),"")</f>
        <v/>
      </c>
      <c r="E970" s="55" t="str">
        <f ca="1">IFERROR(__xludf.DUMMYFUNCTION("""COMPUTED_VALUE"""),"")</f>
        <v/>
      </c>
      <c r="F970" s="54" t="str">
        <f ca="1">IFERROR(__xludf.DUMMYFUNCTION("""COMPUTED_VALUE"""),"")</f>
        <v/>
      </c>
      <c r="G970" s="38" t="str">
        <f ca="1">IFERROR(__xludf.DUMMYFUNCTION("""COMPUTED_VALUE"""),"")</f>
        <v/>
      </c>
      <c r="H970" s="38" t="str">
        <f ca="1">IFERROR(__xludf.DUMMYFUNCTION("""COMPUTED_VALUE"""),"")</f>
        <v/>
      </c>
    </row>
    <row r="971" spans="1:8" ht="12.75">
      <c r="A971" s="36" t="str">
        <f ca="1">IFERROR(__xludf.DUMMYFUNCTION("""COMPUTED_VALUE"""),"")</f>
        <v/>
      </c>
      <c r="B971" s="38"/>
      <c r="C971" s="54" t="str">
        <f ca="1">IFERROR(__xludf.DUMMYFUNCTION("""COMPUTED_VALUE"""),"")</f>
        <v/>
      </c>
      <c r="D971" s="54" t="str">
        <f ca="1">IFERROR(__xludf.DUMMYFUNCTION("""COMPUTED_VALUE"""),"")</f>
        <v/>
      </c>
      <c r="E971" s="55" t="str">
        <f ca="1">IFERROR(__xludf.DUMMYFUNCTION("""COMPUTED_VALUE"""),"")</f>
        <v/>
      </c>
      <c r="F971" s="54" t="str">
        <f ca="1">IFERROR(__xludf.DUMMYFUNCTION("""COMPUTED_VALUE"""),"")</f>
        <v/>
      </c>
      <c r="G971" s="38" t="str">
        <f ca="1">IFERROR(__xludf.DUMMYFUNCTION("""COMPUTED_VALUE"""),"")</f>
        <v/>
      </c>
      <c r="H971" s="38" t="str">
        <f ca="1">IFERROR(__xludf.DUMMYFUNCTION("""COMPUTED_VALUE"""),"")</f>
        <v/>
      </c>
    </row>
    <row r="972" spans="1:8" ht="12.75">
      <c r="A972" s="36" t="str">
        <f ca="1">IFERROR(__xludf.DUMMYFUNCTION("""COMPUTED_VALUE"""),"")</f>
        <v/>
      </c>
      <c r="B972" s="38"/>
      <c r="C972" s="54" t="str">
        <f ca="1">IFERROR(__xludf.DUMMYFUNCTION("""COMPUTED_VALUE"""),"")</f>
        <v/>
      </c>
      <c r="D972" s="54" t="str">
        <f ca="1">IFERROR(__xludf.DUMMYFUNCTION("""COMPUTED_VALUE"""),"")</f>
        <v/>
      </c>
      <c r="E972" s="55" t="str">
        <f ca="1">IFERROR(__xludf.DUMMYFUNCTION("""COMPUTED_VALUE"""),"")</f>
        <v/>
      </c>
      <c r="F972" s="54" t="str">
        <f ca="1">IFERROR(__xludf.DUMMYFUNCTION("""COMPUTED_VALUE"""),"")</f>
        <v/>
      </c>
      <c r="G972" s="38" t="str">
        <f ca="1">IFERROR(__xludf.DUMMYFUNCTION("""COMPUTED_VALUE"""),"")</f>
        <v/>
      </c>
      <c r="H972" s="38" t="str">
        <f ca="1">IFERROR(__xludf.DUMMYFUNCTION("""COMPUTED_VALUE"""),"")</f>
        <v/>
      </c>
    </row>
    <row r="973" spans="1:8" ht="12.75">
      <c r="A973" s="36" t="str">
        <f ca="1">IFERROR(__xludf.DUMMYFUNCTION("""COMPUTED_VALUE"""),"")</f>
        <v/>
      </c>
      <c r="B973" s="38"/>
      <c r="C973" s="54" t="str">
        <f ca="1">IFERROR(__xludf.DUMMYFUNCTION("""COMPUTED_VALUE"""),"")</f>
        <v/>
      </c>
      <c r="D973" s="54" t="str">
        <f ca="1">IFERROR(__xludf.DUMMYFUNCTION("""COMPUTED_VALUE"""),"")</f>
        <v/>
      </c>
      <c r="E973" s="55" t="str">
        <f ca="1">IFERROR(__xludf.DUMMYFUNCTION("""COMPUTED_VALUE"""),"")</f>
        <v/>
      </c>
      <c r="F973" s="54" t="str">
        <f ca="1">IFERROR(__xludf.DUMMYFUNCTION("""COMPUTED_VALUE"""),"")</f>
        <v/>
      </c>
      <c r="G973" s="38" t="str">
        <f ca="1">IFERROR(__xludf.DUMMYFUNCTION("""COMPUTED_VALUE"""),"")</f>
        <v/>
      </c>
      <c r="H973" s="38" t="str">
        <f ca="1">IFERROR(__xludf.DUMMYFUNCTION("""COMPUTED_VALUE"""),"")</f>
        <v/>
      </c>
    </row>
    <row r="974" spans="1:8" ht="12.75">
      <c r="A974" s="36" t="str">
        <f ca="1">IFERROR(__xludf.DUMMYFUNCTION("""COMPUTED_VALUE"""),"")</f>
        <v/>
      </c>
      <c r="B974" s="38"/>
      <c r="C974" s="54" t="str">
        <f ca="1">IFERROR(__xludf.DUMMYFUNCTION("""COMPUTED_VALUE"""),"")</f>
        <v/>
      </c>
      <c r="D974" s="54" t="str">
        <f ca="1">IFERROR(__xludf.DUMMYFUNCTION("""COMPUTED_VALUE"""),"")</f>
        <v/>
      </c>
      <c r="E974" s="55" t="str">
        <f ca="1">IFERROR(__xludf.DUMMYFUNCTION("""COMPUTED_VALUE"""),"")</f>
        <v/>
      </c>
      <c r="F974" s="54" t="str">
        <f ca="1">IFERROR(__xludf.DUMMYFUNCTION("""COMPUTED_VALUE"""),"")</f>
        <v/>
      </c>
      <c r="G974" s="38" t="str">
        <f ca="1">IFERROR(__xludf.DUMMYFUNCTION("""COMPUTED_VALUE"""),"")</f>
        <v/>
      </c>
      <c r="H974" s="38" t="str">
        <f ca="1">IFERROR(__xludf.DUMMYFUNCTION("""COMPUTED_VALUE"""),"")</f>
        <v/>
      </c>
    </row>
    <row r="975" spans="1:8" ht="12.75">
      <c r="A975" s="36" t="str">
        <f ca="1">IFERROR(__xludf.DUMMYFUNCTION("""COMPUTED_VALUE"""),"")</f>
        <v/>
      </c>
      <c r="B975" s="38"/>
      <c r="C975" s="54" t="str">
        <f ca="1">IFERROR(__xludf.DUMMYFUNCTION("""COMPUTED_VALUE"""),"")</f>
        <v/>
      </c>
      <c r="D975" s="54" t="str">
        <f ca="1">IFERROR(__xludf.DUMMYFUNCTION("""COMPUTED_VALUE"""),"")</f>
        <v/>
      </c>
      <c r="E975" s="55" t="str">
        <f ca="1">IFERROR(__xludf.DUMMYFUNCTION("""COMPUTED_VALUE"""),"")</f>
        <v/>
      </c>
      <c r="F975" s="54" t="str">
        <f ca="1">IFERROR(__xludf.DUMMYFUNCTION("""COMPUTED_VALUE"""),"")</f>
        <v/>
      </c>
      <c r="G975" s="38" t="str">
        <f ca="1">IFERROR(__xludf.DUMMYFUNCTION("""COMPUTED_VALUE"""),"")</f>
        <v/>
      </c>
      <c r="H975" s="38" t="str">
        <f ca="1">IFERROR(__xludf.DUMMYFUNCTION("""COMPUTED_VALUE"""),"")</f>
        <v/>
      </c>
    </row>
    <row r="976" spans="1:8" ht="12.75">
      <c r="A976" s="36" t="str">
        <f ca="1">IFERROR(__xludf.DUMMYFUNCTION("""COMPUTED_VALUE"""),"")</f>
        <v/>
      </c>
      <c r="B976" s="38"/>
      <c r="C976" s="54" t="str">
        <f ca="1">IFERROR(__xludf.DUMMYFUNCTION("""COMPUTED_VALUE"""),"")</f>
        <v/>
      </c>
      <c r="D976" s="54" t="str">
        <f ca="1">IFERROR(__xludf.DUMMYFUNCTION("""COMPUTED_VALUE"""),"")</f>
        <v/>
      </c>
      <c r="E976" s="55" t="str">
        <f ca="1">IFERROR(__xludf.DUMMYFUNCTION("""COMPUTED_VALUE"""),"")</f>
        <v/>
      </c>
      <c r="F976" s="54" t="str">
        <f ca="1">IFERROR(__xludf.DUMMYFUNCTION("""COMPUTED_VALUE"""),"")</f>
        <v/>
      </c>
      <c r="G976" s="38" t="str">
        <f ca="1">IFERROR(__xludf.DUMMYFUNCTION("""COMPUTED_VALUE"""),"")</f>
        <v/>
      </c>
      <c r="H976" s="38" t="str">
        <f ca="1">IFERROR(__xludf.DUMMYFUNCTION("""COMPUTED_VALUE"""),"")</f>
        <v/>
      </c>
    </row>
    <row r="977" spans="1:8" ht="12.75">
      <c r="A977" s="36" t="str">
        <f ca="1">IFERROR(__xludf.DUMMYFUNCTION("""COMPUTED_VALUE"""),"")</f>
        <v/>
      </c>
      <c r="B977" s="38"/>
      <c r="C977" s="54" t="str">
        <f ca="1">IFERROR(__xludf.DUMMYFUNCTION("""COMPUTED_VALUE"""),"")</f>
        <v/>
      </c>
      <c r="D977" s="54" t="str">
        <f ca="1">IFERROR(__xludf.DUMMYFUNCTION("""COMPUTED_VALUE"""),"")</f>
        <v/>
      </c>
      <c r="E977" s="55" t="str">
        <f ca="1">IFERROR(__xludf.DUMMYFUNCTION("""COMPUTED_VALUE"""),"")</f>
        <v/>
      </c>
      <c r="F977" s="54" t="str">
        <f ca="1">IFERROR(__xludf.DUMMYFUNCTION("""COMPUTED_VALUE"""),"")</f>
        <v/>
      </c>
      <c r="G977" s="38" t="str">
        <f ca="1">IFERROR(__xludf.DUMMYFUNCTION("""COMPUTED_VALUE"""),"")</f>
        <v/>
      </c>
      <c r="H977" s="38" t="str">
        <f ca="1">IFERROR(__xludf.DUMMYFUNCTION("""COMPUTED_VALUE"""),"")</f>
        <v/>
      </c>
    </row>
    <row r="978" spans="1:8" ht="12.75">
      <c r="A978" s="36" t="str">
        <f ca="1">IFERROR(__xludf.DUMMYFUNCTION("""COMPUTED_VALUE"""),"")</f>
        <v/>
      </c>
      <c r="B978" s="38"/>
      <c r="C978" s="54" t="str">
        <f ca="1">IFERROR(__xludf.DUMMYFUNCTION("""COMPUTED_VALUE"""),"")</f>
        <v/>
      </c>
      <c r="D978" s="54" t="str">
        <f ca="1">IFERROR(__xludf.DUMMYFUNCTION("""COMPUTED_VALUE"""),"")</f>
        <v/>
      </c>
      <c r="E978" s="55" t="str">
        <f ca="1">IFERROR(__xludf.DUMMYFUNCTION("""COMPUTED_VALUE"""),"")</f>
        <v/>
      </c>
      <c r="F978" s="54" t="str">
        <f ca="1">IFERROR(__xludf.DUMMYFUNCTION("""COMPUTED_VALUE"""),"")</f>
        <v/>
      </c>
      <c r="G978" s="38" t="str">
        <f ca="1">IFERROR(__xludf.DUMMYFUNCTION("""COMPUTED_VALUE"""),"")</f>
        <v/>
      </c>
      <c r="H978" s="38" t="str">
        <f ca="1">IFERROR(__xludf.DUMMYFUNCTION("""COMPUTED_VALUE"""),"")</f>
        <v/>
      </c>
    </row>
    <row r="979" spans="1:8" ht="12.75">
      <c r="A979" s="36" t="str">
        <f ca="1">IFERROR(__xludf.DUMMYFUNCTION("""COMPUTED_VALUE"""),"")</f>
        <v/>
      </c>
      <c r="B979" s="38"/>
      <c r="C979" s="54" t="str">
        <f ca="1">IFERROR(__xludf.DUMMYFUNCTION("""COMPUTED_VALUE"""),"")</f>
        <v/>
      </c>
      <c r="D979" s="54" t="str">
        <f ca="1">IFERROR(__xludf.DUMMYFUNCTION("""COMPUTED_VALUE"""),"")</f>
        <v/>
      </c>
      <c r="E979" s="55" t="str">
        <f ca="1">IFERROR(__xludf.DUMMYFUNCTION("""COMPUTED_VALUE"""),"")</f>
        <v/>
      </c>
      <c r="F979" s="54" t="str">
        <f ca="1">IFERROR(__xludf.DUMMYFUNCTION("""COMPUTED_VALUE"""),"")</f>
        <v/>
      </c>
      <c r="G979" s="38" t="str">
        <f ca="1">IFERROR(__xludf.DUMMYFUNCTION("""COMPUTED_VALUE"""),"")</f>
        <v/>
      </c>
      <c r="H979" s="38" t="str">
        <f ca="1">IFERROR(__xludf.DUMMYFUNCTION("""COMPUTED_VALUE"""),"")</f>
        <v/>
      </c>
    </row>
    <row r="980" spans="1:8" ht="12.75">
      <c r="A980" s="36" t="str">
        <f ca="1">IFERROR(__xludf.DUMMYFUNCTION("""COMPUTED_VALUE"""),"")</f>
        <v/>
      </c>
      <c r="B980" s="38"/>
      <c r="C980" s="54" t="str">
        <f ca="1">IFERROR(__xludf.DUMMYFUNCTION("""COMPUTED_VALUE"""),"")</f>
        <v/>
      </c>
      <c r="D980" s="54" t="str">
        <f ca="1">IFERROR(__xludf.DUMMYFUNCTION("""COMPUTED_VALUE"""),"")</f>
        <v/>
      </c>
      <c r="E980" s="55" t="str">
        <f ca="1">IFERROR(__xludf.DUMMYFUNCTION("""COMPUTED_VALUE"""),"")</f>
        <v/>
      </c>
      <c r="F980" s="54" t="str">
        <f ca="1">IFERROR(__xludf.DUMMYFUNCTION("""COMPUTED_VALUE"""),"")</f>
        <v/>
      </c>
      <c r="G980" s="38" t="str">
        <f ca="1">IFERROR(__xludf.DUMMYFUNCTION("""COMPUTED_VALUE"""),"")</f>
        <v/>
      </c>
      <c r="H980" s="38" t="str">
        <f ca="1">IFERROR(__xludf.DUMMYFUNCTION("""COMPUTED_VALUE"""),"")</f>
        <v/>
      </c>
    </row>
    <row r="981" spans="1:8" ht="12.75">
      <c r="A981" s="36" t="str">
        <f ca="1">IFERROR(__xludf.DUMMYFUNCTION("""COMPUTED_VALUE"""),"")</f>
        <v/>
      </c>
      <c r="B981" s="38"/>
      <c r="C981" s="54" t="str">
        <f ca="1">IFERROR(__xludf.DUMMYFUNCTION("""COMPUTED_VALUE"""),"")</f>
        <v/>
      </c>
      <c r="D981" s="54" t="str">
        <f ca="1">IFERROR(__xludf.DUMMYFUNCTION("""COMPUTED_VALUE"""),"")</f>
        <v/>
      </c>
      <c r="E981" s="55" t="str">
        <f ca="1">IFERROR(__xludf.DUMMYFUNCTION("""COMPUTED_VALUE"""),"")</f>
        <v/>
      </c>
      <c r="F981" s="54" t="str">
        <f ca="1">IFERROR(__xludf.DUMMYFUNCTION("""COMPUTED_VALUE"""),"")</f>
        <v/>
      </c>
      <c r="G981" s="38" t="str">
        <f ca="1">IFERROR(__xludf.DUMMYFUNCTION("""COMPUTED_VALUE"""),"")</f>
        <v/>
      </c>
      <c r="H981" s="38" t="str">
        <f ca="1">IFERROR(__xludf.DUMMYFUNCTION("""COMPUTED_VALUE"""),"")</f>
        <v/>
      </c>
    </row>
    <row r="982" spans="1:8" ht="12.75">
      <c r="A982" s="36" t="str">
        <f ca="1">IFERROR(__xludf.DUMMYFUNCTION("""COMPUTED_VALUE"""),"")</f>
        <v/>
      </c>
      <c r="B982" s="38"/>
      <c r="C982" s="54" t="str">
        <f ca="1">IFERROR(__xludf.DUMMYFUNCTION("""COMPUTED_VALUE"""),"")</f>
        <v/>
      </c>
      <c r="D982" s="54" t="str">
        <f ca="1">IFERROR(__xludf.DUMMYFUNCTION("""COMPUTED_VALUE"""),"")</f>
        <v/>
      </c>
      <c r="E982" s="55" t="str">
        <f ca="1">IFERROR(__xludf.DUMMYFUNCTION("""COMPUTED_VALUE"""),"")</f>
        <v/>
      </c>
      <c r="F982" s="54" t="str">
        <f ca="1">IFERROR(__xludf.DUMMYFUNCTION("""COMPUTED_VALUE"""),"")</f>
        <v/>
      </c>
      <c r="G982" s="38" t="str">
        <f ca="1">IFERROR(__xludf.DUMMYFUNCTION("""COMPUTED_VALUE"""),"")</f>
        <v/>
      </c>
      <c r="H982" s="38" t="str">
        <f ca="1">IFERROR(__xludf.DUMMYFUNCTION("""COMPUTED_VALUE"""),"")</f>
        <v/>
      </c>
    </row>
    <row r="983" spans="1:8" ht="12.75">
      <c r="A983" s="36" t="str">
        <f ca="1">IFERROR(__xludf.DUMMYFUNCTION("""COMPUTED_VALUE"""),"")</f>
        <v/>
      </c>
      <c r="B983" s="38"/>
      <c r="C983" s="54" t="str">
        <f ca="1">IFERROR(__xludf.DUMMYFUNCTION("""COMPUTED_VALUE"""),"")</f>
        <v/>
      </c>
      <c r="D983" s="54" t="str">
        <f ca="1">IFERROR(__xludf.DUMMYFUNCTION("""COMPUTED_VALUE"""),"")</f>
        <v/>
      </c>
      <c r="E983" s="55" t="str">
        <f ca="1">IFERROR(__xludf.DUMMYFUNCTION("""COMPUTED_VALUE"""),"")</f>
        <v/>
      </c>
      <c r="F983" s="54" t="str">
        <f ca="1">IFERROR(__xludf.DUMMYFUNCTION("""COMPUTED_VALUE"""),"")</f>
        <v/>
      </c>
      <c r="G983" s="38" t="str">
        <f ca="1">IFERROR(__xludf.DUMMYFUNCTION("""COMPUTED_VALUE"""),"")</f>
        <v/>
      </c>
      <c r="H983" s="38" t="str">
        <f ca="1">IFERROR(__xludf.DUMMYFUNCTION("""COMPUTED_VALUE"""),"")</f>
        <v/>
      </c>
    </row>
    <row r="984" spans="1:8" ht="12.75">
      <c r="A984" s="36" t="str">
        <f ca="1">IFERROR(__xludf.DUMMYFUNCTION("""COMPUTED_VALUE"""),"")</f>
        <v/>
      </c>
      <c r="B984" s="38"/>
      <c r="C984" s="54" t="str">
        <f ca="1">IFERROR(__xludf.DUMMYFUNCTION("""COMPUTED_VALUE"""),"")</f>
        <v/>
      </c>
      <c r="D984" s="54" t="str">
        <f ca="1">IFERROR(__xludf.DUMMYFUNCTION("""COMPUTED_VALUE"""),"")</f>
        <v/>
      </c>
      <c r="E984" s="55" t="str">
        <f ca="1">IFERROR(__xludf.DUMMYFUNCTION("""COMPUTED_VALUE"""),"")</f>
        <v/>
      </c>
      <c r="F984" s="54" t="str">
        <f ca="1">IFERROR(__xludf.DUMMYFUNCTION("""COMPUTED_VALUE"""),"")</f>
        <v/>
      </c>
      <c r="G984" s="38" t="str">
        <f ca="1">IFERROR(__xludf.DUMMYFUNCTION("""COMPUTED_VALUE"""),"")</f>
        <v/>
      </c>
      <c r="H984" s="38" t="str">
        <f ca="1">IFERROR(__xludf.DUMMYFUNCTION("""COMPUTED_VALUE"""),"")</f>
        <v/>
      </c>
    </row>
    <row r="985" spans="1:8" ht="12.75">
      <c r="A985" s="36" t="str">
        <f ca="1">IFERROR(__xludf.DUMMYFUNCTION("""COMPUTED_VALUE"""),"")</f>
        <v/>
      </c>
      <c r="B985" s="38"/>
      <c r="C985" s="54" t="str">
        <f ca="1">IFERROR(__xludf.DUMMYFUNCTION("""COMPUTED_VALUE"""),"")</f>
        <v/>
      </c>
      <c r="D985" s="54" t="str">
        <f ca="1">IFERROR(__xludf.DUMMYFUNCTION("""COMPUTED_VALUE"""),"")</f>
        <v/>
      </c>
      <c r="E985" s="55" t="str">
        <f ca="1">IFERROR(__xludf.DUMMYFUNCTION("""COMPUTED_VALUE"""),"")</f>
        <v/>
      </c>
      <c r="F985" s="54" t="str">
        <f ca="1">IFERROR(__xludf.DUMMYFUNCTION("""COMPUTED_VALUE"""),"")</f>
        <v/>
      </c>
      <c r="G985" s="38" t="str">
        <f ca="1">IFERROR(__xludf.DUMMYFUNCTION("""COMPUTED_VALUE"""),"")</f>
        <v/>
      </c>
      <c r="H985" s="38" t="str">
        <f ca="1">IFERROR(__xludf.DUMMYFUNCTION("""COMPUTED_VALUE"""),"")</f>
        <v/>
      </c>
    </row>
    <row r="986" spans="1:8" ht="12.75">
      <c r="A986" s="36" t="str">
        <f ca="1">IFERROR(__xludf.DUMMYFUNCTION("""COMPUTED_VALUE"""),"")</f>
        <v/>
      </c>
      <c r="B986" s="38"/>
      <c r="C986" s="54" t="str">
        <f ca="1">IFERROR(__xludf.DUMMYFUNCTION("""COMPUTED_VALUE"""),"")</f>
        <v/>
      </c>
      <c r="D986" s="54" t="str">
        <f ca="1">IFERROR(__xludf.DUMMYFUNCTION("""COMPUTED_VALUE"""),"")</f>
        <v/>
      </c>
      <c r="E986" s="55" t="str">
        <f ca="1">IFERROR(__xludf.DUMMYFUNCTION("""COMPUTED_VALUE"""),"")</f>
        <v/>
      </c>
      <c r="F986" s="54" t="str">
        <f ca="1">IFERROR(__xludf.DUMMYFUNCTION("""COMPUTED_VALUE"""),"")</f>
        <v/>
      </c>
      <c r="G986" s="38" t="str">
        <f ca="1">IFERROR(__xludf.DUMMYFUNCTION("""COMPUTED_VALUE"""),"")</f>
        <v/>
      </c>
      <c r="H986" s="38" t="str">
        <f ca="1">IFERROR(__xludf.DUMMYFUNCTION("""COMPUTED_VALUE"""),"")</f>
        <v/>
      </c>
    </row>
    <row r="987" spans="1:8" ht="12.75">
      <c r="A987" s="36" t="str">
        <f ca="1">IFERROR(__xludf.DUMMYFUNCTION("""COMPUTED_VALUE"""),"")</f>
        <v/>
      </c>
      <c r="B987" s="38"/>
      <c r="C987" s="54" t="str">
        <f ca="1">IFERROR(__xludf.DUMMYFUNCTION("""COMPUTED_VALUE"""),"")</f>
        <v/>
      </c>
      <c r="D987" s="54" t="str">
        <f ca="1">IFERROR(__xludf.DUMMYFUNCTION("""COMPUTED_VALUE"""),"")</f>
        <v/>
      </c>
      <c r="E987" s="55" t="str">
        <f ca="1">IFERROR(__xludf.DUMMYFUNCTION("""COMPUTED_VALUE"""),"")</f>
        <v/>
      </c>
      <c r="F987" s="54" t="str">
        <f ca="1">IFERROR(__xludf.DUMMYFUNCTION("""COMPUTED_VALUE"""),"")</f>
        <v/>
      </c>
      <c r="G987" s="38" t="str">
        <f ca="1">IFERROR(__xludf.DUMMYFUNCTION("""COMPUTED_VALUE"""),"")</f>
        <v/>
      </c>
      <c r="H987" s="38" t="str">
        <f ca="1">IFERROR(__xludf.DUMMYFUNCTION("""COMPUTED_VALUE"""),"")</f>
        <v/>
      </c>
    </row>
    <row r="988" spans="1:8" ht="12.75">
      <c r="A988" s="36" t="str">
        <f ca="1">IFERROR(__xludf.DUMMYFUNCTION("""COMPUTED_VALUE"""),"")</f>
        <v/>
      </c>
      <c r="B988" s="38"/>
      <c r="C988" s="54" t="str">
        <f ca="1">IFERROR(__xludf.DUMMYFUNCTION("""COMPUTED_VALUE"""),"")</f>
        <v/>
      </c>
      <c r="D988" s="54" t="str">
        <f ca="1">IFERROR(__xludf.DUMMYFUNCTION("""COMPUTED_VALUE"""),"")</f>
        <v/>
      </c>
      <c r="E988" s="55" t="str">
        <f ca="1">IFERROR(__xludf.DUMMYFUNCTION("""COMPUTED_VALUE"""),"")</f>
        <v/>
      </c>
      <c r="F988" s="54" t="str">
        <f ca="1">IFERROR(__xludf.DUMMYFUNCTION("""COMPUTED_VALUE"""),"")</f>
        <v/>
      </c>
      <c r="G988" s="38" t="str">
        <f ca="1">IFERROR(__xludf.DUMMYFUNCTION("""COMPUTED_VALUE"""),"")</f>
        <v/>
      </c>
      <c r="H988" s="38" t="str">
        <f ca="1">IFERROR(__xludf.DUMMYFUNCTION("""COMPUTED_VALUE"""),"")</f>
        <v/>
      </c>
    </row>
    <row r="989" spans="1:8" ht="12.75">
      <c r="A989" s="36" t="str">
        <f ca="1">IFERROR(__xludf.DUMMYFUNCTION("""COMPUTED_VALUE"""),"")</f>
        <v/>
      </c>
      <c r="B989" s="38"/>
      <c r="C989" s="54" t="str">
        <f ca="1">IFERROR(__xludf.DUMMYFUNCTION("""COMPUTED_VALUE"""),"")</f>
        <v/>
      </c>
      <c r="D989" s="54" t="str">
        <f ca="1">IFERROR(__xludf.DUMMYFUNCTION("""COMPUTED_VALUE"""),"")</f>
        <v/>
      </c>
      <c r="E989" s="55" t="str">
        <f ca="1">IFERROR(__xludf.DUMMYFUNCTION("""COMPUTED_VALUE"""),"")</f>
        <v/>
      </c>
      <c r="F989" s="54" t="str">
        <f ca="1">IFERROR(__xludf.DUMMYFUNCTION("""COMPUTED_VALUE"""),"")</f>
        <v/>
      </c>
      <c r="G989" s="38" t="str">
        <f ca="1">IFERROR(__xludf.DUMMYFUNCTION("""COMPUTED_VALUE"""),"")</f>
        <v/>
      </c>
      <c r="H989" s="38" t="str">
        <f ca="1">IFERROR(__xludf.DUMMYFUNCTION("""COMPUTED_VALUE"""),"")</f>
        <v/>
      </c>
    </row>
    <row r="990" spans="1:8" ht="12.75">
      <c r="A990" s="36" t="str">
        <f ca="1">IFERROR(__xludf.DUMMYFUNCTION("""COMPUTED_VALUE"""),"")</f>
        <v/>
      </c>
      <c r="B990" s="38"/>
      <c r="C990" s="54" t="str">
        <f ca="1">IFERROR(__xludf.DUMMYFUNCTION("""COMPUTED_VALUE"""),"")</f>
        <v/>
      </c>
      <c r="D990" s="54" t="str">
        <f ca="1">IFERROR(__xludf.DUMMYFUNCTION("""COMPUTED_VALUE"""),"")</f>
        <v/>
      </c>
      <c r="E990" s="55" t="str">
        <f ca="1">IFERROR(__xludf.DUMMYFUNCTION("""COMPUTED_VALUE"""),"")</f>
        <v/>
      </c>
      <c r="F990" s="54" t="str">
        <f ca="1">IFERROR(__xludf.DUMMYFUNCTION("""COMPUTED_VALUE"""),"")</f>
        <v/>
      </c>
      <c r="G990" s="38" t="str">
        <f ca="1">IFERROR(__xludf.DUMMYFUNCTION("""COMPUTED_VALUE"""),"")</f>
        <v/>
      </c>
      <c r="H990" s="38" t="str">
        <f ca="1">IFERROR(__xludf.DUMMYFUNCTION("""COMPUTED_VALUE"""),"")</f>
        <v/>
      </c>
    </row>
    <row r="991" spans="1:8" ht="12.75">
      <c r="A991" s="36" t="str">
        <f ca="1">IFERROR(__xludf.DUMMYFUNCTION("""COMPUTED_VALUE"""),"")</f>
        <v/>
      </c>
      <c r="B991" s="38"/>
      <c r="C991" s="54" t="str">
        <f ca="1">IFERROR(__xludf.DUMMYFUNCTION("""COMPUTED_VALUE"""),"")</f>
        <v/>
      </c>
      <c r="D991" s="54" t="str">
        <f ca="1">IFERROR(__xludf.DUMMYFUNCTION("""COMPUTED_VALUE"""),"")</f>
        <v/>
      </c>
      <c r="E991" s="55" t="str">
        <f ca="1">IFERROR(__xludf.DUMMYFUNCTION("""COMPUTED_VALUE"""),"")</f>
        <v/>
      </c>
      <c r="F991" s="54" t="str">
        <f ca="1">IFERROR(__xludf.DUMMYFUNCTION("""COMPUTED_VALUE"""),"")</f>
        <v/>
      </c>
      <c r="G991" s="38" t="str">
        <f ca="1">IFERROR(__xludf.DUMMYFUNCTION("""COMPUTED_VALUE"""),"")</f>
        <v/>
      </c>
      <c r="H991" s="38" t="str">
        <f ca="1">IFERROR(__xludf.DUMMYFUNCTION("""COMPUTED_VALUE"""),"")</f>
        <v/>
      </c>
    </row>
    <row r="992" spans="1:8" ht="12.75">
      <c r="A992" s="36" t="str">
        <f ca="1">IFERROR(__xludf.DUMMYFUNCTION("""COMPUTED_VALUE"""),"")</f>
        <v/>
      </c>
      <c r="B992" s="38"/>
      <c r="C992" s="54" t="str">
        <f ca="1">IFERROR(__xludf.DUMMYFUNCTION("""COMPUTED_VALUE"""),"")</f>
        <v/>
      </c>
      <c r="D992" s="54" t="str">
        <f ca="1">IFERROR(__xludf.DUMMYFUNCTION("""COMPUTED_VALUE"""),"")</f>
        <v/>
      </c>
      <c r="E992" s="55" t="str">
        <f ca="1">IFERROR(__xludf.DUMMYFUNCTION("""COMPUTED_VALUE"""),"")</f>
        <v/>
      </c>
      <c r="F992" s="54" t="str">
        <f ca="1">IFERROR(__xludf.DUMMYFUNCTION("""COMPUTED_VALUE"""),"")</f>
        <v/>
      </c>
      <c r="G992" s="38" t="str">
        <f ca="1">IFERROR(__xludf.DUMMYFUNCTION("""COMPUTED_VALUE"""),"")</f>
        <v/>
      </c>
      <c r="H992" s="38" t="str">
        <f ca="1">IFERROR(__xludf.DUMMYFUNCTION("""COMPUTED_VALUE"""),"")</f>
        <v/>
      </c>
    </row>
    <row r="993" spans="1:8" ht="12.75">
      <c r="A993" s="36" t="str">
        <f ca="1">IFERROR(__xludf.DUMMYFUNCTION("""COMPUTED_VALUE"""),"")</f>
        <v/>
      </c>
      <c r="B993" s="38"/>
      <c r="C993" s="54" t="str">
        <f ca="1">IFERROR(__xludf.DUMMYFUNCTION("""COMPUTED_VALUE"""),"")</f>
        <v/>
      </c>
      <c r="D993" s="54" t="str">
        <f ca="1">IFERROR(__xludf.DUMMYFUNCTION("""COMPUTED_VALUE"""),"")</f>
        <v/>
      </c>
      <c r="E993" s="55" t="str">
        <f ca="1">IFERROR(__xludf.DUMMYFUNCTION("""COMPUTED_VALUE"""),"")</f>
        <v/>
      </c>
      <c r="F993" s="54" t="str">
        <f ca="1">IFERROR(__xludf.DUMMYFUNCTION("""COMPUTED_VALUE"""),"")</f>
        <v/>
      </c>
      <c r="G993" s="38" t="str">
        <f ca="1">IFERROR(__xludf.DUMMYFUNCTION("""COMPUTED_VALUE"""),"")</f>
        <v/>
      </c>
      <c r="H993" s="38" t="str">
        <f ca="1">IFERROR(__xludf.DUMMYFUNCTION("""COMPUTED_VALUE"""),"")</f>
        <v/>
      </c>
    </row>
    <row r="994" spans="1:8" ht="12.75">
      <c r="A994" s="36" t="str">
        <f ca="1">IFERROR(__xludf.DUMMYFUNCTION("""COMPUTED_VALUE"""),"")</f>
        <v/>
      </c>
      <c r="B994" s="38"/>
      <c r="C994" s="54" t="str">
        <f ca="1">IFERROR(__xludf.DUMMYFUNCTION("""COMPUTED_VALUE"""),"")</f>
        <v/>
      </c>
      <c r="D994" s="54" t="str">
        <f ca="1">IFERROR(__xludf.DUMMYFUNCTION("""COMPUTED_VALUE"""),"")</f>
        <v/>
      </c>
      <c r="E994" s="55" t="str">
        <f ca="1">IFERROR(__xludf.DUMMYFUNCTION("""COMPUTED_VALUE"""),"")</f>
        <v/>
      </c>
      <c r="F994" s="54" t="str">
        <f ca="1">IFERROR(__xludf.DUMMYFUNCTION("""COMPUTED_VALUE"""),"")</f>
        <v/>
      </c>
      <c r="G994" s="38" t="str">
        <f ca="1">IFERROR(__xludf.DUMMYFUNCTION("""COMPUTED_VALUE"""),"")</f>
        <v/>
      </c>
      <c r="H994" s="38" t="str">
        <f ca="1">IFERROR(__xludf.DUMMYFUNCTION("""COMPUTED_VALUE"""),"")</f>
        <v/>
      </c>
    </row>
    <row r="995" spans="1:8" ht="12.75">
      <c r="A995" s="36" t="str">
        <f ca="1">IFERROR(__xludf.DUMMYFUNCTION("""COMPUTED_VALUE"""),"")</f>
        <v/>
      </c>
      <c r="B995" s="38"/>
      <c r="C995" s="54" t="str">
        <f ca="1">IFERROR(__xludf.DUMMYFUNCTION("""COMPUTED_VALUE"""),"")</f>
        <v/>
      </c>
      <c r="D995" s="54" t="str">
        <f ca="1">IFERROR(__xludf.DUMMYFUNCTION("""COMPUTED_VALUE"""),"")</f>
        <v/>
      </c>
      <c r="E995" s="55" t="str">
        <f ca="1">IFERROR(__xludf.DUMMYFUNCTION("""COMPUTED_VALUE"""),"")</f>
        <v/>
      </c>
      <c r="F995" s="54" t="str">
        <f ca="1">IFERROR(__xludf.DUMMYFUNCTION("""COMPUTED_VALUE"""),"")</f>
        <v/>
      </c>
      <c r="G995" s="38" t="str">
        <f ca="1">IFERROR(__xludf.DUMMYFUNCTION("""COMPUTED_VALUE"""),"")</f>
        <v/>
      </c>
      <c r="H995" s="38" t="str">
        <f ca="1">IFERROR(__xludf.DUMMYFUNCTION("""COMPUTED_VALUE"""),"")</f>
        <v/>
      </c>
    </row>
    <row r="996" spans="1:8" ht="12.75">
      <c r="A996" s="36" t="str">
        <f ca="1">IFERROR(__xludf.DUMMYFUNCTION("""COMPUTED_VALUE"""),"")</f>
        <v/>
      </c>
      <c r="B996" s="38"/>
      <c r="C996" s="54" t="str">
        <f ca="1">IFERROR(__xludf.DUMMYFUNCTION("""COMPUTED_VALUE"""),"")</f>
        <v/>
      </c>
      <c r="D996" s="54" t="str">
        <f ca="1">IFERROR(__xludf.DUMMYFUNCTION("""COMPUTED_VALUE"""),"")</f>
        <v/>
      </c>
      <c r="E996" s="55" t="str">
        <f ca="1">IFERROR(__xludf.DUMMYFUNCTION("""COMPUTED_VALUE"""),"")</f>
        <v/>
      </c>
      <c r="F996" s="54" t="str">
        <f ca="1">IFERROR(__xludf.DUMMYFUNCTION("""COMPUTED_VALUE"""),"")</f>
        <v/>
      </c>
      <c r="G996" s="38" t="str">
        <f ca="1">IFERROR(__xludf.DUMMYFUNCTION("""COMPUTED_VALUE"""),"")</f>
        <v/>
      </c>
      <c r="H996" s="38" t="str">
        <f ca="1">IFERROR(__xludf.DUMMYFUNCTION("""COMPUTED_VALUE"""),"")</f>
        <v/>
      </c>
    </row>
    <row r="997" spans="1:8" ht="12.75">
      <c r="A997" s="36" t="str">
        <f ca="1">IFERROR(__xludf.DUMMYFUNCTION("""COMPUTED_VALUE"""),"")</f>
        <v/>
      </c>
      <c r="B997" s="38"/>
      <c r="C997" s="54" t="str">
        <f ca="1">IFERROR(__xludf.DUMMYFUNCTION("""COMPUTED_VALUE"""),"")</f>
        <v/>
      </c>
      <c r="D997" s="54" t="str">
        <f ca="1">IFERROR(__xludf.DUMMYFUNCTION("""COMPUTED_VALUE"""),"")</f>
        <v/>
      </c>
      <c r="E997" s="55" t="str">
        <f ca="1">IFERROR(__xludf.DUMMYFUNCTION("""COMPUTED_VALUE"""),"")</f>
        <v/>
      </c>
      <c r="F997" s="54" t="str">
        <f ca="1">IFERROR(__xludf.DUMMYFUNCTION("""COMPUTED_VALUE"""),"")</f>
        <v/>
      </c>
      <c r="G997" s="38" t="str">
        <f ca="1">IFERROR(__xludf.DUMMYFUNCTION("""COMPUTED_VALUE"""),"")</f>
        <v/>
      </c>
      <c r="H997" s="38" t="str">
        <f ca="1">IFERROR(__xludf.DUMMYFUNCTION("""COMPUTED_VALUE"""),"")</f>
        <v/>
      </c>
    </row>
    <row r="998" spans="1:8" ht="12.75">
      <c r="A998" s="36" t="str">
        <f ca="1">IFERROR(__xludf.DUMMYFUNCTION("""COMPUTED_VALUE"""),"")</f>
        <v/>
      </c>
      <c r="B998" s="38"/>
      <c r="C998" s="54" t="str">
        <f ca="1">IFERROR(__xludf.DUMMYFUNCTION("""COMPUTED_VALUE"""),"")</f>
        <v/>
      </c>
      <c r="D998" s="54" t="str">
        <f ca="1">IFERROR(__xludf.DUMMYFUNCTION("""COMPUTED_VALUE"""),"")</f>
        <v/>
      </c>
      <c r="E998" s="55" t="str">
        <f ca="1">IFERROR(__xludf.DUMMYFUNCTION("""COMPUTED_VALUE"""),"")</f>
        <v/>
      </c>
      <c r="F998" s="54" t="str">
        <f ca="1">IFERROR(__xludf.DUMMYFUNCTION("""COMPUTED_VALUE"""),"")</f>
        <v/>
      </c>
      <c r="G998" s="38" t="str">
        <f ca="1">IFERROR(__xludf.DUMMYFUNCTION("""COMPUTED_VALUE"""),"")</f>
        <v/>
      </c>
      <c r="H998" s="38" t="str">
        <f ca="1">IFERROR(__xludf.DUMMYFUNCTION("""COMPUTED_VALUE"""),"")</f>
        <v/>
      </c>
    </row>
    <row r="999" spans="1:8" ht="12.75">
      <c r="A999" s="36" t="str">
        <f ca="1">IFERROR(__xludf.DUMMYFUNCTION("""COMPUTED_VALUE"""),"")</f>
        <v/>
      </c>
      <c r="B999" s="38"/>
      <c r="C999" s="54" t="str">
        <f ca="1">IFERROR(__xludf.DUMMYFUNCTION("""COMPUTED_VALUE"""),"")</f>
        <v/>
      </c>
      <c r="D999" s="54" t="str">
        <f ca="1">IFERROR(__xludf.DUMMYFUNCTION("""COMPUTED_VALUE"""),"")</f>
        <v/>
      </c>
      <c r="E999" s="55" t="str">
        <f ca="1">IFERROR(__xludf.DUMMYFUNCTION("""COMPUTED_VALUE"""),"")</f>
        <v/>
      </c>
      <c r="F999" s="54" t="str">
        <f ca="1">IFERROR(__xludf.DUMMYFUNCTION("""COMPUTED_VALUE"""),"")</f>
        <v/>
      </c>
      <c r="G999" s="38" t="str">
        <f ca="1">IFERROR(__xludf.DUMMYFUNCTION("""COMPUTED_VALUE"""),"")</f>
        <v/>
      </c>
      <c r="H999" s="38" t="str">
        <f ca="1">IFERROR(__xludf.DUMMYFUNCTION("""COMPUTED_VALUE"""),"")</f>
        <v/>
      </c>
    </row>
    <row r="1000" spans="1:8" ht="12.75">
      <c r="A1000" s="36"/>
      <c r="B1000" s="38"/>
      <c r="C1000" s="54"/>
      <c r="D1000" s="54"/>
      <c r="E1000" s="55"/>
      <c r="F1000" s="54"/>
      <c r="G1000" s="38"/>
      <c r="H1000" s="38"/>
    </row>
    <row r="1001" spans="1:8" ht="12.75">
      <c r="A1001" s="36"/>
      <c r="B1001" s="38"/>
      <c r="C1001" s="54"/>
      <c r="D1001" s="54"/>
      <c r="E1001" s="55"/>
      <c r="F1001" s="54"/>
      <c r="G1001" s="38"/>
      <c r="H1001" s="38"/>
    </row>
    <row r="1002" spans="1:8" ht="12.75">
      <c r="A1002" s="36"/>
      <c r="B1002" s="38"/>
      <c r="C1002" s="54"/>
      <c r="D1002" s="54"/>
      <c r="E1002" s="55"/>
      <c r="F1002" s="54"/>
      <c r="G1002" s="38"/>
      <c r="H1002" s="38"/>
    </row>
    <row r="1003" spans="1:8" ht="12.75">
      <c r="A1003" s="36"/>
      <c r="B1003" s="38"/>
      <c r="C1003" s="54"/>
      <c r="D1003" s="54"/>
      <c r="E1003" s="55"/>
      <c r="F1003" s="54"/>
      <c r="G1003" s="38"/>
      <c r="H1003" s="38"/>
    </row>
    <row r="1004" spans="1:8" ht="12.75">
      <c r="A1004" s="36"/>
      <c r="B1004" s="38"/>
      <c r="C1004" s="54"/>
      <c r="D1004" s="54"/>
      <c r="E1004" s="55"/>
      <c r="F1004" s="54"/>
      <c r="G1004" s="38"/>
      <c r="H1004" s="38"/>
    </row>
    <row r="1005" spans="1:8" ht="12.75">
      <c r="A1005" s="36"/>
      <c r="B1005" s="38"/>
      <c r="C1005" s="54"/>
      <c r="D1005" s="54"/>
      <c r="E1005" s="55"/>
      <c r="F1005" s="54"/>
      <c r="G1005" s="38"/>
      <c r="H1005" s="38"/>
    </row>
    <row r="1006" spans="1:8" ht="12.75">
      <c r="A1006" s="36"/>
      <c r="B1006" s="38"/>
      <c r="C1006" s="54"/>
      <c r="D1006" s="54"/>
      <c r="E1006" s="55"/>
      <c r="F1006" s="54"/>
      <c r="G1006" s="38"/>
      <c r="H1006" s="38"/>
    </row>
    <row r="1007" spans="1:8" ht="12.75">
      <c r="A1007" s="36"/>
      <c r="B1007" s="38"/>
      <c r="C1007" s="54"/>
      <c r="D1007" s="54"/>
      <c r="E1007" s="55"/>
      <c r="F1007" s="54"/>
      <c r="G1007" s="38"/>
      <c r="H1007" s="38"/>
    </row>
    <row r="1008" spans="1:8" ht="12.75">
      <c r="A1008" s="36"/>
      <c r="B1008" s="38"/>
      <c r="C1008" s="54"/>
      <c r="D1008" s="54"/>
      <c r="E1008" s="55"/>
      <c r="F1008" s="54"/>
      <c r="G1008" s="38"/>
      <c r="H1008" s="38"/>
    </row>
    <row r="1009" spans="1:8" ht="12.75">
      <c r="A1009" s="36"/>
      <c r="B1009" s="38"/>
      <c r="C1009" s="54"/>
      <c r="D1009" s="54"/>
      <c r="E1009" s="55"/>
      <c r="F1009" s="54"/>
      <c r="G1009" s="38"/>
      <c r="H1009" s="38"/>
    </row>
    <row r="1010" spans="1:8" ht="12.75">
      <c r="A1010" s="36"/>
      <c r="B1010" s="38"/>
      <c r="C1010" s="54"/>
      <c r="D1010" s="54"/>
      <c r="E1010" s="55"/>
      <c r="F1010" s="54"/>
      <c r="G1010" s="38"/>
      <c r="H1010" s="38"/>
    </row>
    <row r="1011" spans="1:8" ht="12.75">
      <c r="A1011" s="36"/>
      <c r="B1011" s="38"/>
      <c r="C1011" s="54"/>
      <c r="D1011" s="54"/>
      <c r="E1011" s="55"/>
      <c r="F1011" s="54"/>
      <c r="G1011" s="38"/>
      <c r="H1011" s="38"/>
    </row>
    <row r="1012" spans="1:8" ht="12.75">
      <c r="A1012" s="36"/>
      <c r="B1012" s="38"/>
      <c r="C1012" s="54"/>
      <c r="D1012" s="54"/>
      <c r="E1012" s="55"/>
      <c r="F1012" s="54"/>
      <c r="G1012" s="38"/>
      <c r="H1012" s="38"/>
    </row>
    <row r="1013" spans="1:8" ht="12.75">
      <c r="A1013" s="36"/>
      <c r="B1013" s="38"/>
      <c r="C1013" s="54"/>
      <c r="D1013" s="54"/>
      <c r="E1013" s="55"/>
      <c r="F1013" s="54"/>
      <c r="G1013" s="38"/>
      <c r="H1013" s="38"/>
    </row>
    <row r="1014" spans="1:8" ht="12.75">
      <c r="A1014" s="36"/>
      <c r="B1014" s="38"/>
      <c r="C1014" s="54"/>
      <c r="D1014" s="54"/>
      <c r="E1014" s="55"/>
      <c r="F1014" s="54"/>
      <c r="G1014" s="38"/>
      <c r="H1014" s="38"/>
    </row>
    <row r="1015" spans="1:8" ht="12.75">
      <c r="A1015" s="36"/>
      <c r="B1015" s="38"/>
      <c r="C1015" s="54"/>
      <c r="D1015" s="54"/>
      <c r="E1015" s="55"/>
      <c r="F1015" s="54"/>
      <c r="G1015" s="38"/>
      <c r="H1015" s="38"/>
    </row>
    <row r="1016" spans="1:8" ht="12.75">
      <c r="A1016" s="36"/>
      <c r="B1016" s="38"/>
      <c r="C1016" s="54"/>
      <c r="D1016" s="54"/>
      <c r="E1016" s="55"/>
      <c r="F1016" s="54"/>
      <c r="G1016" s="38"/>
      <c r="H1016" s="38"/>
    </row>
    <row r="1017" spans="1:8" ht="12.75">
      <c r="A1017" s="36"/>
      <c r="B1017" s="38"/>
      <c r="C1017" s="54"/>
      <c r="D1017" s="54"/>
      <c r="E1017" s="55"/>
      <c r="F1017" s="54"/>
      <c r="G1017" s="38"/>
      <c r="H1017" s="38"/>
    </row>
    <row r="1018" spans="1:8" ht="12.75">
      <c r="A1018" s="36"/>
      <c r="B1018" s="38"/>
      <c r="C1018" s="54"/>
      <c r="D1018" s="54"/>
      <c r="E1018" s="55"/>
      <c r="F1018" s="54"/>
      <c r="G1018" s="38"/>
      <c r="H1018" s="38"/>
    </row>
    <row r="1019" spans="1:8" ht="12.75">
      <c r="A1019" s="36"/>
      <c r="B1019" s="38"/>
      <c r="C1019" s="54"/>
      <c r="D1019" s="54"/>
      <c r="E1019" s="55"/>
      <c r="F1019" s="54"/>
      <c r="G1019" s="38"/>
      <c r="H1019" s="38"/>
    </row>
    <row r="1020" spans="1:8" ht="12.75">
      <c r="A1020" s="36"/>
      <c r="B1020" s="38"/>
      <c r="C1020" s="54"/>
      <c r="D1020" s="54"/>
      <c r="E1020" s="55"/>
      <c r="F1020" s="54"/>
      <c r="G1020" s="38"/>
      <c r="H1020" s="38"/>
    </row>
    <row r="1021" spans="1:8" ht="12.75">
      <c r="A1021" s="36"/>
      <c r="B1021" s="38"/>
      <c r="C1021" s="54"/>
      <c r="D1021" s="54"/>
      <c r="E1021" s="55"/>
      <c r="F1021" s="54"/>
      <c r="G1021" s="38"/>
      <c r="H1021" s="38"/>
    </row>
    <row r="1022" spans="1:8" ht="12.75">
      <c r="A1022" s="36"/>
      <c r="B1022" s="38"/>
      <c r="C1022" s="54"/>
      <c r="D1022" s="54"/>
      <c r="E1022" s="55"/>
      <c r="F1022" s="54"/>
      <c r="G1022" s="38"/>
      <c r="H1022" s="38"/>
    </row>
    <row r="1023" spans="1:8" ht="12.75">
      <c r="A1023" s="36"/>
      <c r="B1023" s="38"/>
      <c r="C1023" s="54"/>
      <c r="D1023" s="54"/>
      <c r="E1023" s="55"/>
      <c r="F1023" s="54"/>
      <c r="G1023" s="38"/>
      <c r="H1023" s="38"/>
    </row>
    <row r="1024" spans="1:8" ht="12.75">
      <c r="A1024" s="36"/>
      <c r="B1024" s="38"/>
      <c r="C1024" s="54"/>
      <c r="D1024" s="54"/>
      <c r="E1024" s="55"/>
      <c r="F1024" s="54"/>
      <c r="G1024" s="38"/>
      <c r="H1024" s="38"/>
    </row>
    <row r="1025" spans="1:8" ht="12.75">
      <c r="A1025" s="36"/>
      <c r="B1025" s="38"/>
      <c r="C1025" s="54"/>
      <c r="D1025" s="54"/>
      <c r="E1025" s="55"/>
      <c r="F1025" s="54"/>
      <c r="G1025" s="38"/>
      <c r="H1025" s="38"/>
    </row>
    <row r="1026" spans="1:8" ht="12.75">
      <c r="A1026" s="36"/>
      <c r="B1026" s="38"/>
      <c r="C1026" s="54"/>
      <c r="D1026" s="54"/>
      <c r="E1026" s="55"/>
      <c r="F1026" s="54"/>
      <c r="G1026" s="38"/>
      <c r="H1026" s="38"/>
    </row>
    <row r="1027" spans="1:8" ht="12.75">
      <c r="A1027" s="36"/>
      <c r="B1027" s="38"/>
      <c r="C1027" s="54"/>
      <c r="D1027" s="54"/>
      <c r="E1027" s="55"/>
      <c r="F1027" s="54"/>
      <c r="G1027" s="38"/>
      <c r="H1027" s="38"/>
    </row>
    <row r="1028" spans="1:8" ht="12.75">
      <c r="A1028" s="36"/>
      <c r="B1028" s="38"/>
      <c r="C1028" s="54"/>
      <c r="D1028" s="54"/>
      <c r="E1028" s="55"/>
      <c r="F1028" s="54"/>
      <c r="G1028" s="38"/>
      <c r="H1028" s="38"/>
    </row>
    <row r="1029" spans="1:8" ht="12.75">
      <c r="A1029" s="36"/>
      <c r="B1029" s="38"/>
      <c r="C1029" s="54"/>
      <c r="D1029" s="54"/>
      <c r="E1029" s="55"/>
      <c r="F1029" s="54"/>
      <c r="G1029" s="38"/>
      <c r="H1029" s="38"/>
    </row>
    <row r="1030" spans="1:8" ht="12.75">
      <c r="A1030" s="36"/>
      <c r="B1030" s="38"/>
      <c r="C1030" s="54"/>
      <c r="D1030" s="54"/>
      <c r="E1030" s="55"/>
      <c r="F1030" s="54"/>
      <c r="G1030" s="38"/>
      <c r="H1030" s="38"/>
    </row>
    <row r="1031" spans="1:8" ht="12.75">
      <c r="A1031" s="36"/>
      <c r="B1031" s="38"/>
      <c r="C1031" s="54"/>
      <c r="D1031" s="54"/>
      <c r="E1031" s="55"/>
      <c r="F1031" s="54"/>
      <c r="G1031" s="38"/>
      <c r="H1031" s="38"/>
    </row>
    <row r="1032" spans="1:8" ht="12.75">
      <c r="A1032" s="36"/>
      <c r="B1032" s="38"/>
      <c r="C1032" s="54"/>
      <c r="D1032" s="54"/>
      <c r="E1032" s="55"/>
      <c r="F1032" s="54"/>
      <c r="G1032" s="38"/>
      <c r="H1032" s="38"/>
    </row>
    <row r="1033" spans="1:8" ht="12.75">
      <c r="A1033" s="36"/>
      <c r="B1033" s="38"/>
      <c r="C1033" s="54"/>
      <c r="D1033" s="54"/>
      <c r="E1033" s="55"/>
      <c r="F1033" s="54"/>
      <c r="G1033" s="38"/>
      <c r="H1033" s="38"/>
    </row>
    <row r="1034" spans="1:8" ht="12.75">
      <c r="A1034" s="36"/>
      <c r="B1034" s="38"/>
      <c r="C1034" s="54"/>
      <c r="D1034" s="54"/>
      <c r="E1034" s="55"/>
      <c r="F1034" s="54"/>
      <c r="G1034" s="38"/>
      <c r="H1034" s="38"/>
    </row>
    <row r="1035" spans="1:8" ht="12.75">
      <c r="A1035" s="36"/>
      <c r="B1035" s="38"/>
      <c r="C1035" s="54"/>
      <c r="D1035" s="54"/>
      <c r="E1035" s="55"/>
      <c r="F1035" s="54"/>
      <c r="G1035" s="38"/>
      <c r="H1035" s="38"/>
    </row>
    <row r="1036" spans="1:8" ht="12.75">
      <c r="A1036" s="36"/>
      <c r="B1036" s="38"/>
      <c r="C1036" s="54"/>
      <c r="D1036" s="54"/>
      <c r="E1036" s="55"/>
      <c r="F1036" s="54"/>
      <c r="G1036" s="38"/>
      <c r="H1036" s="38"/>
    </row>
    <row r="1037" spans="1:8" ht="12.75">
      <c r="A1037" s="36"/>
      <c r="B1037" s="38"/>
      <c r="C1037" s="54"/>
      <c r="D1037" s="54"/>
      <c r="E1037" s="55"/>
      <c r="F1037" s="54"/>
      <c r="G1037" s="38"/>
      <c r="H1037" s="38"/>
    </row>
    <row r="1038" spans="1:8" ht="12.75">
      <c r="A1038" s="36"/>
      <c r="B1038" s="38"/>
      <c r="C1038" s="54"/>
      <c r="D1038" s="54"/>
      <c r="E1038" s="55"/>
      <c r="F1038" s="54"/>
      <c r="G1038" s="38"/>
      <c r="H1038" s="38"/>
    </row>
    <row r="1039" spans="1:8" ht="12.75">
      <c r="A1039" s="36"/>
      <c r="B1039" s="38"/>
      <c r="C1039" s="54"/>
      <c r="D1039" s="54"/>
      <c r="E1039" s="55"/>
      <c r="F1039" s="54"/>
      <c r="G1039" s="38"/>
      <c r="H1039" s="38"/>
    </row>
    <row r="1040" spans="1:8" ht="12.75">
      <c r="A1040" s="36"/>
      <c r="B1040" s="38"/>
      <c r="C1040" s="54"/>
      <c r="D1040" s="54"/>
      <c r="E1040" s="55"/>
      <c r="F1040" s="54"/>
      <c r="G1040" s="38"/>
      <c r="H1040" s="38"/>
    </row>
    <row r="1041" spans="1:8" ht="12.75">
      <c r="A1041" s="36"/>
      <c r="B1041" s="38"/>
      <c r="C1041" s="54"/>
      <c r="D1041" s="54"/>
      <c r="E1041" s="55"/>
      <c r="F1041" s="54"/>
      <c r="G1041" s="38"/>
      <c r="H1041" s="38"/>
    </row>
    <row r="1042" spans="1:8" ht="12.75">
      <c r="A1042" s="36"/>
      <c r="B1042" s="38"/>
      <c r="C1042" s="54"/>
      <c r="D1042" s="54"/>
      <c r="E1042" s="55"/>
      <c r="F1042" s="54"/>
      <c r="G1042" s="38"/>
      <c r="H1042" s="38"/>
    </row>
    <row r="1043" spans="1:8" ht="12.75">
      <c r="A1043" s="36"/>
      <c r="B1043" s="38"/>
      <c r="C1043" s="54"/>
      <c r="D1043" s="54"/>
      <c r="E1043" s="55"/>
      <c r="F1043" s="54"/>
      <c r="G1043" s="38"/>
      <c r="H1043" s="38"/>
    </row>
    <row r="1044" spans="1:8" ht="12.75">
      <c r="A1044" s="36"/>
      <c r="B1044" s="38"/>
      <c r="C1044" s="54"/>
      <c r="D1044" s="54"/>
      <c r="E1044" s="55"/>
      <c r="F1044" s="54"/>
      <c r="G1044" s="38"/>
      <c r="H1044" s="38"/>
    </row>
    <row r="1045" spans="1:8" ht="12.75">
      <c r="A1045" s="36"/>
      <c r="B1045" s="38"/>
      <c r="C1045" s="54"/>
      <c r="D1045" s="54"/>
      <c r="E1045" s="55"/>
      <c r="F1045" s="54"/>
      <c r="G1045" s="38"/>
      <c r="H1045" s="38"/>
    </row>
    <row r="1046" spans="1:8" ht="12.75">
      <c r="A1046" s="36"/>
      <c r="B1046" s="38"/>
      <c r="C1046" s="54"/>
      <c r="D1046" s="54"/>
      <c r="E1046" s="55"/>
      <c r="F1046" s="54"/>
      <c r="G1046" s="38"/>
      <c r="H1046" s="38"/>
    </row>
    <row r="1047" spans="1:8" ht="12.75">
      <c r="A1047" s="36"/>
      <c r="B1047" s="38"/>
      <c r="C1047" s="54"/>
      <c r="D1047" s="54"/>
      <c r="E1047" s="55"/>
      <c r="F1047" s="54"/>
      <c r="G1047" s="38"/>
      <c r="H1047" s="38"/>
    </row>
    <row r="1048" spans="1:8" ht="12.75">
      <c r="A1048" s="36"/>
      <c r="B1048" s="38"/>
      <c r="C1048" s="54"/>
      <c r="D1048" s="54"/>
      <c r="E1048" s="55"/>
      <c r="F1048" s="54"/>
      <c r="G1048" s="38"/>
      <c r="H1048" s="38"/>
    </row>
    <row r="1049" spans="1:8" ht="12.75">
      <c r="A1049" s="36"/>
      <c r="B1049" s="38"/>
      <c r="C1049" s="54"/>
      <c r="D1049" s="54"/>
      <c r="E1049" s="55"/>
      <c r="F1049" s="54"/>
      <c r="G1049" s="38"/>
      <c r="H1049" s="38"/>
    </row>
    <row r="1050" spans="1:8" ht="12.75">
      <c r="A1050" s="36"/>
      <c r="B1050" s="38"/>
      <c r="C1050" s="54"/>
      <c r="D1050" s="54"/>
      <c r="E1050" s="55"/>
      <c r="F1050" s="54"/>
      <c r="G1050" s="38"/>
      <c r="H1050" s="38"/>
    </row>
    <row r="1051" spans="1:8" ht="12.75">
      <c r="A1051" s="36"/>
      <c r="B1051" s="38"/>
      <c r="C1051" s="54"/>
      <c r="D1051" s="54"/>
      <c r="E1051" s="55"/>
      <c r="F1051" s="54"/>
      <c r="G1051" s="38"/>
      <c r="H1051" s="38"/>
    </row>
    <row r="1052" spans="1:8" ht="12.75">
      <c r="A1052" s="36"/>
      <c r="B1052" s="38"/>
      <c r="C1052" s="54"/>
      <c r="D1052" s="54"/>
      <c r="E1052" s="55"/>
      <c r="F1052" s="54"/>
      <c r="G1052" s="38"/>
      <c r="H1052" s="38"/>
    </row>
    <row r="1053" spans="1:8" ht="12.75">
      <c r="A1053" s="36"/>
      <c r="B1053" s="38"/>
      <c r="C1053" s="54"/>
      <c r="D1053" s="54"/>
      <c r="E1053" s="55"/>
      <c r="F1053" s="54"/>
      <c r="G1053" s="38"/>
      <c r="H1053" s="38"/>
    </row>
    <row r="1054" spans="1:8" ht="12.75">
      <c r="A1054" s="36"/>
      <c r="B1054" s="38"/>
      <c r="C1054" s="54"/>
      <c r="D1054" s="54"/>
      <c r="E1054" s="55"/>
      <c r="F1054" s="54"/>
      <c r="G1054" s="38"/>
      <c r="H1054" s="38"/>
    </row>
    <row r="1055" spans="1:8" ht="12.75">
      <c r="A1055" s="36"/>
      <c r="B1055" s="38"/>
      <c r="C1055" s="54"/>
      <c r="D1055" s="54"/>
      <c r="E1055" s="55"/>
      <c r="F1055" s="54"/>
      <c r="G1055" s="38"/>
      <c r="H1055" s="38"/>
    </row>
    <row r="1056" spans="1:8" ht="12.75">
      <c r="A1056" s="36"/>
      <c r="B1056" s="38"/>
      <c r="C1056" s="54"/>
      <c r="D1056" s="54"/>
      <c r="E1056" s="55"/>
      <c r="F1056" s="54"/>
      <c r="G1056" s="38"/>
      <c r="H1056" s="38"/>
    </row>
    <row r="1057" spans="1:8" ht="12.75">
      <c r="A1057" s="36"/>
      <c r="B1057" s="38"/>
      <c r="C1057" s="54"/>
      <c r="D1057" s="54"/>
      <c r="E1057" s="55"/>
      <c r="F1057" s="54"/>
      <c r="G1057" s="38"/>
      <c r="H1057" s="38"/>
    </row>
    <row r="1058" spans="1:8" ht="12.75">
      <c r="A1058" s="36"/>
      <c r="B1058" s="38"/>
      <c r="C1058" s="54"/>
      <c r="D1058" s="54"/>
      <c r="E1058" s="55"/>
      <c r="F1058" s="54"/>
      <c r="G1058" s="38"/>
      <c r="H1058" s="38"/>
    </row>
    <row r="1059" spans="1:8" ht="12.75">
      <c r="A1059" s="36"/>
      <c r="B1059" s="38"/>
      <c r="C1059" s="54"/>
      <c r="D1059" s="54"/>
      <c r="E1059" s="55"/>
      <c r="F1059" s="54"/>
      <c r="G1059" s="38"/>
      <c r="H1059" s="38"/>
    </row>
    <row r="1060" spans="1:8" ht="12.75">
      <c r="A1060" s="36"/>
      <c r="B1060" s="38"/>
      <c r="C1060" s="54"/>
      <c r="D1060" s="54"/>
      <c r="E1060" s="55"/>
      <c r="F1060" s="54"/>
      <c r="G1060" s="38"/>
      <c r="H1060" s="38"/>
    </row>
    <row r="1061" spans="1:8" ht="12.75">
      <c r="A1061" s="36"/>
      <c r="B1061" s="38"/>
      <c r="C1061" s="54"/>
      <c r="D1061" s="54"/>
      <c r="E1061" s="55"/>
      <c r="F1061" s="54"/>
      <c r="G1061" s="38"/>
      <c r="H1061" s="38"/>
    </row>
    <row r="1062" spans="1:8" ht="12.75">
      <c r="A1062" s="36"/>
      <c r="B1062" s="38"/>
      <c r="C1062" s="54"/>
      <c r="D1062" s="54"/>
      <c r="E1062" s="55"/>
      <c r="F1062" s="54"/>
      <c r="G1062" s="38"/>
      <c r="H1062" s="38"/>
    </row>
    <row r="1063" spans="1:8" ht="12.75">
      <c r="A1063" s="36"/>
      <c r="B1063" s="38"/>
      <c r="C1063" s="54"/>
      <c r="D1063" s="54"/>
      <c r="E1063" s="55"/>
      <c r="F1063" s="54"/>
      <c r="G1063" s="38"/>
      <c r="H1063" s="38"/>
    </row>
    <row r="1064" spans="1:8" ht="12.75">
      <c r="A1064" s="36"/>
      <c r="B1064" s="38"/>
      <c r="C1064" s="54"/>
      <c r="D1064" s="54"/>
      <c r="E1064" s="55"/>
      <c r="F1064" s="54"/>
      <c r="G1064" s="38"/>
      <c r="H1064" s="38"/>
    </row>
    <row r="1065" spans="1:8" ht="12.75">
      <c r="A1065" s="36"/>
      <c r="B1065" s="38"/>
      <c r="C1065" s="54"/>
      <c r="D1065" s="54"/>
      <c r="E1065" s="55"/>
      <c r="F1065" s="54"/>
      <c r="G1065" s="38"/>
      <c r="H1065" s="38"/>
    </row>
    <row r="1066" spans="1:8" ht="12.75">
      <c r="A1066" s="36"/>
      <c r="B1066" s="38"/>
      <c r="C1066" s="54"/>
      <c r="D1066" s="54"/>
      <c r="E1066" s="55"/>
      <c r="F1066" s="54"/>
      <c r="G1066" s="38"/>
      <c r="H1066" s="38"/>
    </row>
    <row r="1067" spans="1:8" ht="12.75">
      <c r="A1067" s="36"/>
      <c r="B1067" s="38"/>
      <c r="C1067" s="54"/>
      <c r="D1067" s="54"/>
      <c r="E1067" s="55"/>
      <c r="F1067" s="54"/>
      <c r="G1067" s="38"/>
      <c r="H1067" s="38"/>
    </row>
    <row r="1068" spans="1:8" ht="12.75">
      <c r="A1068" s="36"/>
      <c r="B1068" s="38"/>
      <c r="C1068" s="54"/>
      <c r="D1068" s="54"/>
      <c r="E1068" s="55"/>
      <c r="F1068" s="54"/>
      <c r="G1068" s="38"/>
      <c r="H1068" s="38"/>
    </row>
    <row r="1069" spans="1:8" ht="12.75">
      <c r="A1069" s="36"/>
      <c r="B1069" s="38"/>
      <c r="C1069" s="54"/>
      <c r="D1069" s="54"/>
      <c r="E1069" s="55"/>
      <c r="F1069" s="54"/>
      <c r="G1069" s="38"/>
      <c r="H1069" s="38"/>
    </row>
    <row r="1070" spans="1:8" ht="12.75">
      <c r="A1070" s="36"/>
      <c r="B1070" s="38"/>
      <c r="C1070" s="54"/>
      <c r="D1070" s="54"/>
      <c r="E1070" s="55"/>
      <c r="F1070" s="54"/>
      <c r="G1070" s="38"/>
      <c r="H1070" s="38"/>
    </row>
    <row r="1071" spans="1:8" ht="12.75">
      <c r="A1071" s="36"/>
      <c r="B1071" s="38"/>
      <c r="C1071" s="54"/>
      <c r="D1071" s="54"/>
      <c r="E1071" s="55"/>
      <c r="F1071" s="54"/>
      <c r="G1071" s="38"/>
      <c r="H1071" s="38"/>
    </row>
    <row r="1072" spans="1:8" ht="12.75">
      <c r="A1072" s="36"/>
      <c r="B1072" s="38"/>
      <c r="C1072" s="54"/>
      <c r="D1072" s="54"/>
      <c r="E1072" s="55"/>
      <c r="F1072" s="54"/>
      <c r="G1072" s="38"/>
      <c r="H1072" s="38"/>
    </row>
    <row r="1073" spans="1:8" ht="12.75">
      <c r="A1073" s="36"/>
      <c r="B1073" s="38"/>
      <c r="C1073" s="54"/>
      <c r="D1073" s="54"/>
      <c r="E1073" s="55"/>
      <c r="F1073" s="54"/>
      <c r="G1073" s="38"/>
      <c r="H1073" s="38"/>
    </row>
    <row r="1074" spans="1:8" ht="12.75">
      <c r="A1074" s="36"/>
      <c r="B1074" s="38"/>
      <c r="C1074" s="54"/>
      <c r="D1074" s="54"/>
      <c r="E1074" s="55"/>
      <c r="F1074" s="54"/>
      <c r="G1074" s="38"/>
      <c r="H1074" s="38"/>
    </row>
    <row r="1075" spans="1:8" ht="12.75">
      <c r="A1075" s="36"/>
      <c r="B1075" s="38"/>
      <c r="C1075" s="54"/>
      <c r="D1075" s="54"/>
      <c r="E1075" s="55"/>
      <c r="F1075" s="54"/>
      <c r="G1075" s="38"/>
      <c r="H1075" s="38"/>
    </row>
    <row r="1076" spans="1:8" ht="12.75">
      <c r="A1076" s="36"/>
      <c r="B1076" s="38"/>
      <c r="C1076" s="54"/>
      <c r="D1076" s="54"/>
      <c r="E1076" s="55"/>
      <c r="F1076" s="54"/>
      <c r="G1076" s="38"/>
      <c r="H1076" s="38"/>
    </row>
    <row r="1077" spans="1:8" ht="12.75">
      <c r="A1077" s="36"/>
      <c r="B1077" s="38"/>
      <c r="C1077" s="54"/>
      <c r="D1077" s="54"/>
      <c r="E1077" s="55"/>
      <c r="F1077" s="54"/>
      <c r="G1077" s="38"/>
      <c r="H1077" s="38"/>
    </row>
    <row r="1078" spans="1:8" ht="12.75">
      <c r="A1078" s="36"/>
      <c r="B1078" s="38"/>
      <c r="C1078" s="54"/>
      <c r="D1078" s="54"/>
      <c r="E1078" s="55"/>
      <c r="F1078" s="54"/>
      <c r="G1078" s="38"/>
      <c r="H1078" s="38"/>
    </row>
    <row r="1079" spans="1:8" ht="12.75">
      <c r="A1079" s="36"/>
      <c r="B1079" s="38"/>
      <c r="C1079" s="54"/>
      <c r="D1079" s="54"/>
      <c r="E1079" s="55"/>
      <c r="F1079" s="54"/>
      <c r="G1079" s="38"/>
      <c r="H1079" s="38"/>
    </row>
    <row r="1080" spans="1:8" ht="12.75">
      <c r="A1080" s="36"/>
      <c r="B1080" s="38"/>
      <c r="C1080" s="54"/>
      <c r="D1080" s="54"/>
      <c r="E1080" s="55"/>
      <c r="F1080" s="54"/>
      <c r="G1080" s="38"/>
      <c r="H1080" s="38"/>
    </row>
    <row r="1081" spans="1:8" ht="12.75">
      <c r="A1081" s="36"/>
      <c r="B1081" s="38"/>
      <c r="C1081" s="54"/>
      <c r="D1081" s="54"/>
      <c r="E1081" s="55"/>
      <c r="F1081" s="54"/>
      <c r="G1081" s="38"/>
      <c r="H1081" s="38"/>
    </row>
    <row r="1082" spans="1:8" ht="12.75">
      <c r="A1082" s="36"/>
      <c r="B1082" s="38"/>
      <c r="C1082" s="54"/>
      <c r="D1082" s="54"/>
      <c r="E1082" s="55"/>
      <c r="F1082" s="54"/>
      <c r="G1082" s="38"/>
      <c r="H1082" s="38"/>
    </row>
    <row r="1083" spans="1:8" ht="12.75">
      <c r="A1083" s="36"/>
      <c r="B1083" s="38"/>
      <c r="C1083" s="54"/>
      <c r="D1083" s="54"/>
      <c r="E1083" s="55"/>
      <c r="F1083" s="54"/>
      <c r="G1083" s="38"/>
      <c r="H1083" s="38"/>
    </row>
    <row r="1084" spans="1:8" ht="12.75">
      <c r="A1084" s="36"/>
      <c r="B1084" s="38"/>
      <c r="C1084" s="54"/>
      <c r="D1084" s="54"/>
      <c r="E1084" s="55"/>
      <c r="F1084" s="54"/>
      <c r="G1084" s="38"/>
      <c r="H1084" s="38"/>
    </row>
    <row r="1085" spans="1:8" ht="12.75">
      <c r="A1085" s="36"/>
      <c r="B1085" s="38"/>
      <c r="C1085" s="54"/>
      <c r="D1085" s="54"/>
      <c r="E1085" s="55"/>
      <c r="F1085" s="54"/>
      <c r="G1085" s="38"/>
      <c r="H1085" s="38"/>
    </row>
    <row r="1086" spans="1:8" ht="12.75">
      <c r="A1086" s="36"/>
      <c r="B1086" s="38"/>
      <c r="C1086" s="54"/>
      <c r="D1086" s="54"/>
      <c r="E1086" s="55"/>
      <c r="F1086" s="54"/>
      <c r="G1086" s="38"/>
      <c r="H1086" s="38"/>
    </row>
    <row r="1087" spans="1:8" ht="12.75">
      <c r="A1087" s="36"/>
      <c r="B1087" s="38"/>
      <c r="C1087" s="54"/>
      <c r="D1087" s="54"/>
      <c r="E1087" s="55"/>
      <c r="F1087" s="54"/>
      <c r="G1087" s="38"/>
      <c r="H1087" s="38"/>
    </row>
    <row r="1088" spans="1:8" ht="12.75">
      <c r="A1088" s="36"/>
      <c r="B1088" s="38"/>
      <c r="C1088" s="54"/>
      <c r="D1088" s="54"/>
      <c r="E1088" s="55"/>
      <c r="F1088" s="54"/>
      <c r="G1088" s="38"/>
      <c r="H1088" s="38"/>
    </row>
    <row r="1089" spans="1:8" ht="12.75">
      <c r="A1089" s="36"/>
      <c r="B1089" s="38"/>
      <c r="C1089" s="54"/>
      <c r="D1089" s="54"/>
      <c r="E1089" s="55"/>
      <c r="F1089" s="54"/>
      <c r="G1089" s="38"/>
      <c r="H1089" s="38"/>
    </row>
    <row r="1090" spans="1:8" ht="12.75">
      <c r="A1090" s="36"/>
      <c r="B1090" s="38"/>
      <c r="C1090" s="54"/>
      <c r="D1090" s="54"/>
      <c r="E1090" s="55"/>
      <c r="F1090" s="54"/>
      <c r="G1090" s="38"/>
      <c r="H1090" s="38"/>
    </row>
    <row r="1091" spans="1:8" ht="12.75">
      <c r="A1091" s="36"/>
      <c r="B1091" s="38"/>
      <c r="C1091" s="54"/>
      <c r="D1091" s="54"/>
      <c r="E1091" s="55"/>
      <c r="F1091" s="54"/>
      <c r="G1091" s="38"/>
      <c r="H1091" s="38"/>
    </row>
    <row r="1092" spans="1:8" ht="12.75">
      <c r="A1092" s="36"/>
      <c r="B1092" s="38"/>
      <c r="C1092" s="54"/>
      <c r="D1092" s="54"/>
      <c r="E1092" s="55"/>
      <c r="F1092" s="54"/>
      <c r="G1092" s="38"/>
      <c r="H1092" s="38"/>
    </row>
    <row r="1093" spans="1:8" ht="12.75">
      <c r="A1093" s="36"/>
      <c r="B1093" s="38"/>
      <c r="C1093" s="54"/>
      <c r="D1093" s="54"/>
      <c r="E1093" s="55"/>
      <c r="F1093" s="54"/>
      <c r="G1093" s="38"/>
      <c r="H1093" s="38"/>
    </row>
    <row r="1094" spans="1:8" ht="12.75">
      <c r="A1094" s="36"/>
      <c r="B1094" s="38"/>
      <c r="C1094" s="54"/>
      <c r="D1094" s="54"/>
      <c r="E1094" s="55"/>
      <c r="F1094" s="54"/>
      <c r="G1094" s="38"/>
      <c r="H1094" s="38"/>
    </row>
    <row r="1095" spans="1:8" ht="12.75">
      <c r="A1095" s="36"/>
      <c r="B1095" s="38"/>
      <c r="C1095" s="54"/>
      <c r="D1095" s="54"/>
      <c r="E1095" s="55"/>
      <c r="F1095" s="54"/>
      <c r="G1095" s="38"/>
      <c r="H1095" s="38"/>
    </row>
    <row r="1096" spans="1:8" ht="12.75">
      <c r="A1096" s="36"/>
      <c r="B1096" s="38"/>
      <c r="C1096" s="54"/>
      <c r="D1096" s="54"/>
      <c r="E1096" s="55"/>
      <c r="F1096" s="54"/>
      <c r="G1096" s="38"/>
      <c r="H1096" s="38"/>
    </row>
    <row r="1097" spans="1:8" ht="12.75">
      <c r="A1097" s="36"/>
      <c r="B1097" s="38"/>
      <c r="C1097" s="54"/>
      <c r="D1097" s="54"/>
      <c r="E1097" s="55"/>
      <c r="F1097" s="54"/>
      <c r="G1097" s="38"/>
      <c r="H1097" s="38"/>
    </row>
    <row r="1098" spans="1:8" ht="12.75">
      <c r="A1098" s="36"/>
      <c r="B1098" s="38"/>
      <c r="C1098" s="54"/>
      <c r="D1098" s="54"/>
      <c r="E1098" s="55"/>
      <c r="F1098" s="54"/>
      <c r="G1098" s="38"/>
      <c r="H1098" s="38"/>
    </row>
    <row r="1099" spans="1:8" ht="12.75">
      <c r="A1099" s="36"/>
      <c r="B1099" s="38"/>
      <c r="C1099" s="54"/>
      <c r="D1099" s="54"/>
      <c r="E1099" s="55"/>
      <c r="F1099" s="54"/>
      <c r="G1099" s="38"/>
      <c r="H1099" s="38"/>
    </row>
    <row r="1100" spans="1:8" ht="12.75">
      <c r="A1100" s="36"/>
      <c r="B1100" s="38"/>
      <c r="C1100" s="54"/>
      <c r="D1100" s="54"/>
      <c r="E1100" s="55"/>
      <c r="F1100" s="54"/>
      <c r="G1100" s="38"/>
      <c r="H1100" s="38"/>
    </row>
    <row r="1101" spans="1:8" ht="12.75">
      <c r="A1101" s="36"/>
      <c r="B1101" s="38"/>
      <c r="C1101" s="54"/>
      <c r="D1101" s="54"/>
      <c r="E1101" s="55"/>
      <c r="F1101" s="54"/>
      <c r="G1101" s="38"/>
      <c r="H1101" s="38"/>
    </row>
    <row r="1102" spans="1:8" ht="12.75">
      <c r="A1102" s="36"/>
      <c r="B1102" s="38"/>
      <c r="C1102" s="54"/>
      <c r="D1102" s="54"/>
      <c r="E1102" s="55"/>
      <c r="F1102" s="54"/>
      <c r="G1102" s="38"/>
      <c r="H1102" s="38"/>
    </row>
    <row r="1103" spans="1:8" ht="12.75">
      <c r="A1103" s="36"/>
      <c r="B1103" s="38"/>
      <c r="C1103" s="54"/>
      <c r="D1103" s="54"/>
      <c r="E1103" s="55"/>
      <c r="F1103" s="54"/>
      <c r="G1103" s="38"/>
      <c r="H1103" s="38"/>
    </row>
    <row r="1104" spans="1:8" ht="12.75">
      <c r="A1104" s="36"/>
      <c r="B1104" s="38"/>
      <c r="C1104" s="54"/>
      <c r="D1104" s="54"/>
      <c r="E1104" s="55"/>
      <c r="F1104" s="54"/>
      <c r="G1104" s="38"/>
      <c r="H1104" s="38"/>
    </row>
    <row r="1105" spans="1:8" ht="12.75">
      <c r="A1105" s="36"/>
      <c r="B1105" s="38"/>
      <c r="C1105" s="54"/>
      <c r="D1105" s="54"/>
      <c r="E1105" s="55"/>
      <c r="F1105" s="54"/>
      <c r="G1105" s="38"/>
      <c r="H1105" s="38"/>
    </row>
    <row r="1106" spans="1:8" ht="12.75">
      <c r="A1106" s="36"/>
      <c r="B1106" s="38"/>
      <c r="C1106" s="54"/>
      <c r="D1106" s="54"/>
      <c r="E1106" s="55"/>
      <c r="F1106" s="54"/>
      <c r="G1106" s="38"/>
      <c r="H1106" s="38"/>
    </row>
    <row r="1107" spans="1:8" ht="12.75">
      <c r="A1107" s="36"/>
      <c r="B1107" s="38"/>
      <c r="C1107" s="54"/>
      <c r="D1107" s="54"/>
      <c r="E1107" s="55"/>
      <c r="F1107" s="54"/>
      <c r="G1107" s="38"/>
      <c r="H1107" s="38"/>
    </row>
    <row r="1108" spans="1:8" ht="12.75">
      <c r="A1108" s="36"/>
      <c r="B1108" s="38"/>
      <c r="C1108" s="54"/>
      <c r="D1108" s="54"/>
      <c r="E1108" s="55"/>
      <c r="F1108" s="54"/>
      <c r="G1108" s="38"/>
      <c r="H1108" s="38"/>
    </row>
    <row r="1109" spans="1:8" ht="12.75">
      <c r="A1109" s="36"/>
      <c r="B1109" s="38"/>
      <c r="C1109" s="54"/>
      <c r="D1109" s="54"/>
      <c r="E1109" s="55"/>
      <c r="F1109" s="54"/>
      <c r="G1109" s="38"/>
      <c r="H1109" s="38"/>
    </row>
    <row r="1110" spans="1:8" ht="12.75">
      <c r="A1110" s="36"/>
      <c r="B1110" s="38"/>
      <c r="C1110" s="54"/>
      <c r="D1110" s="54"/>
      <c r="E1110" s="55"/>
      <c r="F1110" s="54"/>
      <c r="G1110" s="38"/>
      <c r="H1110" s="38"/>
    </row>
    <row r="1111" spans="1:8" ht="12.75">
      <c r="A1111" s="36"/>
      <c r="B1111" s="38"/>
      <c r="C1111" s="54"/>
      <c r="D1111" s="54"/>
      <c r="E1111" s="55"/>
      <c r="F1111" s="54"/>
      <c r="G1111" s="38"/>
      <c r="H1111" s="38"/>
    </row>
    <row r="1112" spans="1:8" ht="12.75">
      <c r="A1112" s="36"/>
      <c r="B1112" s="38"/>
      <c r="C1112" s="54"/>
      <c r="D1112" s="54"/>
      <c r="E1112" s="55"/>
      <c r="F1112" s="54"/>
      <c r="G1112" s="38"/>
      <c r="H1112" s="38"/>
    </row>
    <row r="1113" spans="1:8" ht="12.75">
      <c r="A1113" s="36"/>
      <c r="B1113" s="38"/>
      <c r="C1113" s="54"/>
      <c r="D1113" s="54"/>
      <c r="E1113" s="55"/>
      <c r="F1113" s="54"/>
      <c r="G1113" s="38"/>
      <c r="H1113" s="38"/>
    </row>
    <row r="1114" spans="1:8" ht="12.75">
      <c r="A1114" s="36"/>
      <c r="B1114" s="38"/>
      <c r="C1114" s="54"/>
      <c r="D1114" s="54"/>
      <c r="E1114" s="55"/>
      <c r="F1114" s="54"/>
      <c r="G1114" s="38"/>
      <c r="H1114" s="38"/>
    </row>
    <row r="1115" spans="1:8" ht="12.75">
      <c r="A1115" s="36"/>
      <c r="B1115" s="38"/>
      <c r="C1115" s="54"/>
      <c r="D1115" s="54"/>
      <c r="E1115" s="55"/>
      <c r="F1115" s="54"/>
      <c r="G1115" s="38"/>
      <c r="H1115" s="38"/>
    </row>
    <row r="1116" spans="1:8" ht="12.75">
      <c r="A1116" s="36"/>
      <c r="B1116" s="38"/>
      <c r="C1116" s="54"/>
      <c r="D1116" s="54"/>
      <c r="E1116" s="55"/>
      <c r="F1116" s="54"/>
      <c r="G1116" s="38"/>
      <c r="H1116" s="38"/>
    </row>
    <row r="1117" spans="1:8" ht="12.75">
      <c r="A1117" s="36"/>
      <c r="B1117" s="38"/>
      <c r="C1117" s="54"/>
      <c r="D1117" s="54"/>
      <c r="E1117" s="55"/>
      <c r="F1117" s="54"/>
      <c r="G1117" s="38"/>
      <c r="H1117" s="38"/>
    </row>
    <row r="1118" spans="1:8" ht="12.75">
      <c r="A1118" s="36"/>
      <c r="B1118" s="38"/>
      <c r="C1118" s="54"/>
      <c r="D1118" s="54"/>
      <c r="E1118" s="55"/>
      <c r="F1118" s="54"/>
      <c r="G1118" s="38"/>
      <c r="H1118" s="38"/>
    </row>
    <row r="1119" spans="1:8" ht="12.75">
      <c r="A1119" s="36"/>
      <c r="B1119" s="38"/>
      <c r="C1119" s="54"/>
      <c r="D1119" s="54"/>
      <c r="E1119" s="55"/>
      <c r="F1119" s="54"/>
      <c r="G1119" s="38"/>
      <c r="H1119" s="38"/>
    </row>
    <row r="1120" spans="1:8" ht="12.75">
      <c r="A1120" s="36"/>
      <c r="B1120" s="38"/>
      <c r="C1120" s="54"/>
      <c r="D1120" s="54"/>
      <c r="E1120" s="55"/>
      <c r="F1120" s="54"/>
      <c r="G1120" s="38"/>
      <c r="H1120" s="38"/>
    </row>
    <row r="1121" spans="1:8" ht="12.75">
      <c r="A1121" s="36"/>
      <c r="B1121" s="38"/>
      <c r="C1121" s="54"/>
      <c r="D1121" s="54"/>
      <c r="E1121" s="55"/>
      <c r="F1121" s="54"/>
      <c r="G1121" s="38"/>
      <c r="H1121" s="38"/>
    </row>
    <row r="1122" spans="1:8" ht="12.75">
      <c r="A1122" s="36"/>
      <c r="B1122" s="38"/>
      <c r="C1122" s="54"/>
      <c r="D1122" s="54"/>
      <c r="E1122" s="55"/>
      <c r="F1122" s="54"/>
      <c r="G1122" s="38"/>
      <c r="H1122" s="38"/>
    </row>
    <row r="1123" spans="1:8" ht="12.75">
      <c r="A1123" s="36"/>
      <c r="B1123" s="38"/>
      <c r="C1123" s="54"/>
      <c r="D1123" s="54"/>
      <c r="E1123" s="55"/>
      <c r="F1123" s="54"/>
      <c r="G1123" s="38"/>
      <c r="H1123" s="38"/>
    </row>
    <row r="1124" spans="1:8" ht="12.75">
      <c r="A1124" s="36"/>
      <c r="B1124" s="38"/>
      <c r="C1124" s="54"/>
      <c r="D1124" s="54"/>
      <c r="E1124" s="55"/>
      <c r="F1124" s="54"/>
      <c r="G1124" s="38"/>
      <c r="H1124" s="38"/>
    </row>
    <row r="1125" spans="1:8" ht="12.75">
      <c r="A1125" s="36"/>
      <c r="B1125" s="38"/>
      <c r="C1125" s="54"/>
      <c r="D1125" s="54"/>
      <c r="E1125" s="55"/>
      <c r="F1125" s="54"/>
      <c r="G1125" s="38"/>
      <c r="H1125" s="38"/>
    </row>
    <row r="1126" spans="1:8" ht="12.75">
      <c r="A1126" s="36"/>
      <c r="B1126" s="38"/>
      <c r="C1126" s="54"/>
      <c r="D1126" s="54"/>
      <c r="E1126" s="55"/>
      <c r="F1126" s="54"/>
      <c r="G1126" s="38"/>
      <c r="H1126" s="38"/>
    </row>
    <row r="1127" spans="1:8" ht="12.75">
      <c r="A1127" s="36"/>
      <c r="B1127" s="38"/>
      <c r="C1127" s="54"/>
      <c r="D1127" s="54"/>
      <c r="E1127" s="55"/>
      <c r="F1127" s="54"/>
      <c r="G1127" s="38"/>
      <c r="H1127" s="38"/>
    </row>
    <row r="1128" spans="1:8" ht="12.75">
      <c r="A1128" s="36"/>
      <c r="B1128" s="38"/>
      <c r="C1128" s="54"/>
      <c r="D1128" s="54"/>
      <c r="E1128" s="55"/>
      <c r="F1128" s="54"/>
      <c r="G1128" s="38"/>
      <c r="H1128" s="38"/>
    </row>
    <row r="1129" spans="1:8" ht="12.75">
      <c r="A1129" s="36"/>
      <c r="B1129" s="38"/>
      <c r="C1129" s="54"/>
      <c r="D1129" s="54"/>
      <c r="E1129" s="55"/>
      <c r="F1129" s="54"/>
      <c r="G1129" s="38"/>
      <c r="H1129" s="38"/>
    </row>
    <row r="1130" spans="1:8" ht="12.75">
      <c r="A1130" s="36"/>
      <c r="B1130" s="38"/>
      <c r="C1130" s="54"/>
      <c r="D1130" s="54"/>
      <c r="E1130" s="55"/>
      <c r="F1130" s="54"/>
      <c r="G1130" s="38"/>
      <c r="H1130" s="38"/>
    </row>
    <row r="1131" spans="1:8" ht="12.75">
      <c r="A1131" s="36"/>
      <c r="B1131" s="38"/>
      <c r="C1131" s="54"/>
      <c r="D1131" s="54"/>
      <c r="E1131" s="55"/>
      <c r="F1131" s="54"/>
      <c r="G1131" s="38"/>
      <c r="H1131" s="38"/>
    </row>
    <row r="1132" spans="1:8" ht="12.75">
      <c r="A1132" s="36"/>
      <c r="B1132" s="38"/>
      <c r="C1132" s="54"/>
      <c r="D1132" s="54"/>
      <c r="E1132" s="55"/>
      <c r="F1132" s="54"/>
      <c r="G1132" s="38"/>
      <c r="H1132" s="38"/>
    </row>
    <row r="1133" spans="1:8" ht="12.75">
      <c r="A1133" s="36"/>
      <c r="B1133" s="38"/>
      <c r="C1133" s="54"/>
      <c r="D1133" s="54"/>
      <c r="E1133" s="55"/>
      <c r="F1133" s="54"/>
      <c r="G1133" s="38"/>
      <c r="H1133" s="38"/>
    </row>
    <row r="1134" spans="1:8" ht="12.75">
      <c r="A1134" s="36"/>
      <c r="B1134" s="38"/>
      <c r="C1134" s="54"/>
      <c r="D1134" s="54"/>
      <c r="E1134" s="55"/>
      <c r="F1134" s="54"/>
      <c r="G1134" s="38"/>
      <c r="H1134" s="38"/>
    </row>
    <row r="1135" spans="1:8" ht="12.75">
      <c r="A1135" s="36"/>
      <c r="B1135" s="38"/>
      <c r="C1135" s="54"/>
      <c r="D1135" s="54"/>
      <c r="E1135" s="55"/>
      <c r="F1135" s="54"/>
      <c r="G1135" s="38"/>
      <c r="H1135" s="38"/>
    </row>
    <row r="1136" spans="1:8" ht="12.75">
      <c r="A1136" s="36"/>
      <c r="B1136" s="38"/>
      <c r="C1136" s="54"/>
      <c r="D1136" s="54"/>
      <c r="E1136" s="55"/>
      <c r="F1136" s="54"/>
      <c r="G1136" s="38"/>
      <c r="H1136" s="38"/>
    </row>
    <row r="1137" spans="1:8" ht="12.75">
      <c r="A1137" s="36"/>
      <c r="B1137" s="38"/>
      <c r="C1137" s="54"/>
      <c r="D1137" s="54"/>
      <c r="E1137" s="55"/>
      <c r="F1137" s="54"/>
      <c r="G1137" s="38"/>
      <c r="H1137" s="38"/>
    </row>
    <row r="1138" spans="1:8" ht="12.75">
      <c r="A1138" s="36"/>
      <c r="B1138" s="38"/>
      <c r="C1138" s="54"/>
      <c r="D1138" s="54"/>
      <c r="E1138" s="55"/>
      <c r="F1138" s="54"/>
      <c r="G1138" s="38"/>
      <c r="H1138" s="38"/>
    </row>
    <row r="1139" spans="1:8" ht="12.75">
      <c r="A1139" s="36"/>
      <c r="B1139" s="38"/>
      <c r="C1139" s="54"/>
      <c r="D1139" s="54"/>
      <c r="E1139" s="55"/>
      <c r="F1139" s="54"/>
      <c r="G1139" s="38"/>
      <c r="H1139" s="38"/>
    </row>
    <row r="1140" spans="1:8" ht="12.75">
      <c r="A1140" s="36"/>
      <c r="B1140" s="38"/>
      <c r="C1140" s="54"/>
      <c r="D1140" s="54"/>
      <c r="E1140" s="55"/>
      <c r="F1140" s="54"/>
      <c r="G1140" s="38"/>
      <c r="H1140" s="38"/>
    </row>
    <row r="1141" spans="1:8" ht="12.75">
      <c r="A1141" s="36"/>
      <c r="B1141" s="38"/>
      <c r="C1141" s="54"/>
      <c r="D1141" s="54"/>
      <c r="E1141" s="55"/>
      <c r="F1141" s="54"/>
      <c r="G1141" s="38"/>
      <c r="H1141" s="38"/>
    </row>
    <row r="1142" spans="1:8" ht="12.75">
      <c r="A1142" s="36"/>
      <c r="B1142" s="38"/>
      <c r="C1142" s="54"/>
      <c r="D1142" s="54"/>
      <c r="E1142" s="55"/>
      <c r="F1142" s="54"/>
      <c r="G1142" s="38"/>
      <c r="H1142" s="38"/>
    </row>
    <row r="1143" spans="1:8" ht="12.75">
      <c r="A1143" s="36"/>
      <c r="B1143" s="38"/>
      <c r="C1143" s="54"/>
      <c r="D1143" s="54"/>
      <c r="E1143" s="55"/>
      <c r="F1143" s="54"/>
      <c r="G1143" s="38"/>
      <c r="H1143" s="38"/>
    </row>
    <row r="1144" spans="1:8" ht="12.75">
      <c r="A1144" s="36"/>
      <c r="B1144" s="38"/>
      <c r="C1144" s="54"/>
      <c r="D1144" s="54"/>
      <c r="E1144" s="55"/>
      <c r="F1144" s="54"/>
      <c r="G1144" s="38"/>
      <c r="H1144" s="38"/>
    </row>
    <row r="1145" spans="1:8" ht="12.75">
      <c r="A1145" s="36"/>
      <c r="B1145" s="38"/>
      <c r="C1145" s="54"/>
      <c r="D1145" s="54"/>
      <c r="E1145" s="55"/>
      <c r="F1145" s="54"/>
      <c r="G1145" s="38"/>
      <c r="H1145" s="38"/>
    </row>
    <row r="1146" spans="1:8" ht="12.75">
      <c r="A1146" s="36"/>
      <c r="B1146" s="38"/>
      <c r="C1146" s="54"/>
      <c r="D1146" s="54"/>
      <c r="E1146" s="55"/>
      <c r="F1146" s="54"/>
      <c r="G1146" s="38"/>
      <c r="H1146" s="38"/>
    </row>
    <row r="1147" spans="1:8" ht="12.75">
      <c r="A1147" s="36"/>
      <c r="B1147" s="38"/>
      <c r="C1147" s="54"/>
      <c r="D1147" s="54"/>
      <c r="E1147" s="55"/>
      <c r="F1147" s="54"/>
      <c r="G1147" s="38"/>
      <c r="H1147" s="38"/>
    </row>
    <row r="1148" spans="1:8" ht="12.75">
      <c r="A1148" s="36"/>
      <c r="B1148" s="38"/>
      <c r="C1148" s="54"/>
      <c r="D1148" s="54"/>
      <c r="E1148" s="55"/>
      <c r="F1148" s="54"/>
      <c r="G1148" s="38"/>
      <c r="H1148" s="38"/>
    </row>
    <row r="1149" spans="1:8" ht="12.75">
      <c r="A1149" s="36"/>
      <c r="B1149" s="38"/>
      <c r="C1149" s="54"/>
      <c r="D1149" s="54"/>
      <c r="E1149" s="55"/>
      <c r="F1149" s="54"/>
      <c r="G1149" s="38"/>
      <c r="H1149" s="38"/>
    </row>
    <row r="1150" spans="1:8" ht="12.75">
      <c r="A1150" s="36"/>
      <c r="B1150" s="38"/>
      <c r="C1150" s="54"/>
      <c r="D1150" s="54"/>
      <c r="E1150" s="55"/>
      <c r="F1150" s="54"/>
      <c r="G1150" s="38"/>
      <c r="H1150" s="38"/>
    </row>
    <row r="1151" spans="1:8" ht="12.75">
      <c r="A1151" s="36"/>
      <c r="B1151" s="38"/>
      <c r="C1151" s="54"/>
      <c r="D1151" s="54"/>
      <c r="E1151" s="55"/>
      <c r="F1151" s="54"/>
      <c r="G1151" s="38"/>
      <c r="H1151" s="38"/>
    </row>
    <row r="1152" spans="1:8" ht="12.75">
      <c r="A1152" s="36"/>
      <c r="B1152" s="38"/>
      <c r="C1152" s="54"/>
      <c r="D1152" s="54"/>
      <c r="E1152" s="55"/>
      <c r="F1152" s="54"/>
      <c r="G1152" s="38"/>
      <c r="H1152" s="38"/>
    </row>
    <row r="1153" spans="1:8" ht="12.75">
      <c r="A1153" s="36"/>
      <c r="B1153" s="38"/>
      <c r="C1153" s="54"/>
      <c r="D1153" s="54"/>
      <c r="E1153" s="55"/>
      <c r="F1153" s="54"/>
      <c r="G1153" s="38"/>
      <c r="H1153" s="38"/>
    </row>
    <row r="1154" spans="1:8" ht="12.75">
      <c r="A1154" s="36"/>
      <c r="B1154" s="38"/>
      <c r="C1154" s="54"/>
      <c r="D1154" s="54"/>
      <c r="E1154" s="55"/>
      <c r="F1154" s="54"/>
      <c r="G1154" s="38"/>
      <c r="H1154" s="38"/>
    </row>
    <row r="1155" spans="1:8" ht="12.75">
      <c r="A1155" s="36"/>
      <c r="B1155" s="38"/>
      <c r="C1155" s="54"/>
      <c r="D1155" s="54"/>
      <c r="E1155" s="55"/>
      <c r="F1155" s="54"/>
      <c r="G1155" s="38"/>
      <c r="H1155" s="38"/>
    </row>
    <row r="1156" spans="1:8" ht="12.75">
      <c r="A1156" s="36"/>
      <c r="B1156" s="38"/>
      <c r="C1156" s="54"/>
      <c r="D1156" s="54"/>
      <c r="E1156" s="55"/>
      <c r="F1156" s="54"/>
      <c r="G1156" s="38"/>
      <c r="H1156" s="38"/>
    </row>
    <row r="1157" spans="1:8" ht="12.75">
      <c r="A1157" s="36"/>
      <c r="B1157" s="38"/>
      <c r="C1157" s="54"/>
      <c r="D1157" s="54"/>
      <c r="E1157" s="55"/>
      <c r="F1157" s="54"/>
      <c r="G1157" s="38"/>
      <c r="H1157" s="38"/>
    </row>
    <row r="1158" spans="1:8" ht="12.75">
      <c r="A1158" s="36"/>
      <c r="B1158" s="38"/>
      <c r="C1158" s="54"/>
      <c r="D1158" s="54"/>
      <c r="E1158" s="55"/>
      <c r="F1158" s="54"/>
      <c r="G1158" s="38"/>
      <c r="H1158" s="38"/>
    </row>
    <row r="1159" spans="1:8" ht="12.75">
      <c r="A1159" s="36"/>
      <c r="B1159" s="38"/>
      <c r="C1159" s="54"/>
      <c r="D1159" s="54"/>
      <c r="E1159" s="55"/>
      <c r="F1159" s="54"/>
      <c r="G1159" s="38"/>
      <c r="H1159" s="38"/>
    </row>
    <row r="1160" spans="1:8" ht="12.75">
      <c r="A1160" s="36"/>
      <c r="B1160" s="38"/>
      <c r="C1160" s="54"/>
      <c r="D1160" s="54"/>
      <c r="E1160" s="55"/>
      <c r="F1160" s="54"/>
      <c r="G1160" s="38"/>
      <c r="H1160" s="38"/>
    </row>
    <row r="1161" spans="1:8" ht="12.75">
      <c r="A1161" s="36"/>
      <c r="B1161" s="38"/>
      <c r="C1161" s="54"/>
      <c r="D1161" s="54"/>
      <c r="E1161" s="55"/>
      <c r="F1161" s="54"/>
      <c r="G1161" s="38"/>
      <c r="H1161" s="38"/>
    </row>
    <row r="1162" spans="1:8" ht="12.75">
      <c r="A1162" s="36"/>
      <c r="B1162" s="38"/>
      <c r="C1162" s="54"/>
      <c r="D1162" s="54"/>
      <c r="E1162" s="55"/>
      <c r="F1162" s="54"/>
      <c r="G1162" s="38"/>
      <c r="H1162" s="38"/>
    </row>
    <row r="1163" spans="1:8" ht="12.75">
      <c r="A1163" s="36"/>
      <c r="B1163" s="38"/>
      <c r="C1163" s="54"/>
      <c r="D1163" s="54"/>
      <c r="E1163" s="55"/>
      <c r="F1163" s="54"/>
      <c r="G1163" s="38"/>
      <c r="H1163" s="38"/>
    </row>
    <row r="1164" spans="1:8" ht="12.75">
      <c r="A1164" s="36"/>
      <c r="B1164" s="38"/>
      <c r="C1164" s="54"/>
      <c r="D1164" s="54"/>
      <c r="E1164" s="55"/>
      <c r="F1164" s="54"/>
      <c r="G1164" s="38"/>
      <c r="H1164" s="38"/>
    </row>
    <row r="1165" spans="1:8" ht="12.75">
      <c r="A1165" s="36"/>
      <c r="B1165" s="38"/>
      <c r="C1165" s="54"/>
      <c r="D1165" s="54"/>
      <c r="E1165" s="55"/>
      <c r="F1165" s="54"/>
      <c r="G1165" s="38"/>
      <c r="H1165" s="38"/>
    </row>
    <row r="1166" spans="1:8" ht="12.75">
      <c r="A1166" s="36"/>
      <c r="B1166" s="38"/>
      <c r="C1166" s="54"/>
      <c r="D1166" s="54"/>
      <c r="E1166" s="55"/>
      <c r="F1166" s="54"/>
      <c r="G1166" s="38"/>
      <c r="H1166" s="38"/>
    </row>
    <row r="1167" spans="1:8" ht="12.75">
      <c r="A1167" s="36"/>
      <c r="B1167" s="38"/>
      <c r="C1167" s="54"/>
      <c r="D1167" s="54"/>
      <c r="E1167" s="55"/>
      <c r="F1167" s="54"/>
      <c r="G1167" s="38"/>
      <c r="H1167" s="38"/>
    </row>
    <row r="1168" spans="1:8" ht="12.75">
      <c r="A1168" s="36"/>
      <c r="B1168" s="38"/>
      <c r="C1168" s="54"/>
      <c r="D1168" s="54"/>
      <c r="E1168" s="55"/>
      <c r="F1168" s="54"/>
      <c r="G1168" s="38"/>
      <c r="H1168" s="38"/>
    </row>
    <row r="1169" spans="1:8" ht="12.75">
      <c r="A1169" s="36"/>
      <c r="B1169" s="38"/>
      <c r="C1169" s="54"/>
      <c r="D1169" s="54"/>
      <c r="E1169" s="55"/>
      <c r="F1169" s="54"/>
      <c r="G1169" s="38"/>
      <c r="H1169" s="38"/>
    </row>
    <row r="1170" spans="1:8" ht="12.75">
      <c r="A1170" s="36"/>
      <c r="B1170" s="38"/>
      <c r="C1170" s="54"/>
      <c r="D1170" s="54"/>
      <c r="E1170" s="55"/>
      <c r="F1170" s="54"/>
      <c r="G1170" s="38"/>
      <c r="H1170" s="38"/>
    </row>
    <row r="1171" spans="1:8" ht="12.75">
      <c r="A1171" s="36"/>
      <c r="B1171" s="38"/>
      <c r="C1171" s="54"/>
      <c r="D1171" s="54"/>
      <c r="E1171" s="55"/>
      <c r="F1171" s="54"/>
      <c r="G1171" s="38"/>
      <c r="H1171" s="38"/>
    </row>
    <row r="1172" spans="1:8" ht="12.75">
      <c r="A1172" s="36"/>
      <c r="B1172" s="38"/>
      <c r="C1172" s="54"/>
      <c r="D1172" s="54"/>
      <c r="E1172" s="55"/>
      <c r="F1172" s="54"/>
      <c r="G1172" s="38"/>
      <c r="H1172" s="38"/>
    </row>
    <row r="1173" spans="1:8" ht="12.75">
      <c r="A1173" s="36"/>
      <c r="B1173" s="38"/>
      <c r="C1173" s="54"/>
      <c r="D1173" s="54"/>
      <c r="E1173" s="55"/>
      <c r="F1173" s="54"/>
      <c r="G1173" s="38"/>
      <c r="H1173" s="38"/>
    </row>
    <row r="1174" spans="1:8" ht="12.75">
      <c r="A1174" s="36"/>
      <c r="B1174" s="38"/>
      <c r="C1174" s="54"/>
      <c r="D1174" s="54"/>
      <c r="E1174" s="55"/>
      <c r="F1174" s="54"/>
      <c r="G1174" s="38"/>
      <c r="H1174" s="38"/>
    </row>
    <row r="1175" spans="1:8" ht="12.75">
      <c r="A1175" s="36"/>
      <c r="B1175" s="38"/>
      <c r="C1175" s="54"/>
      <c r="D1175" s="54"/>
      <c r="E1175" s="55"/>
      <c r="F1175" s="54"/>
      <c r="G1175" s="38"/>
      <c r="H1175" s="38"/>
    </row>
    <row r="1176" spans="1:8" ht="12.75">
      <c r="A1176" s="36"/>
      <c r="B1176" s="38"/>
      <c r="C1176" s="54"/>
      <c r="D1176" s="54"/>
      <c r="E1176" s="55"/>
      <c r="F1176" s="54"/>
      <c r="G1176" s="38"/>
      <c r="H1176" s="38"/>
    </row>
    <row r="1177" spans="1:8" ht="12.75">
      <c r="A1177" s="36"/>
      <c r="B1177" s="38"/>
      <c r="C1177" s="54"/>
      <c r="D1177" s="54"/>
      <c r="E1177" s="55"/>
      <c r="F1177" s="54"/>
      <c r="G1177" s="38"/>
      <c r="H1177" s="38"/>
    </row>
    <row r="1178" spans="1:8" ht="12.75">
      <c r="A1178" s="36"/>
      <c r="B1178" s="38"/>
      <c r="C1178" s="54"/>
      <c r="D1178" s="54"/>
      <c r="E1178" s="55"/>
      <c r="F1178" s="54"/>
      <c r="G1178" s="38"/>
      <c r="H1178" s="38"/>
    </row>
    <row r="1179" spans="1:8" ht="12.75">
      <c r="A1179" s="36"/>
      <c r="B1179" s="38"/>
      <c r="C1179" s="54"/>
      <c r="D1179" s="54"/>
      <c r="E1179" s="55"/>
      <c r="F1179" s="54"/>
      <c r="G1179" s="38"/>
      <c r="H1179" s="38"/>
    </row>
    <row r="1180" spans="1:8" ht="12.75">
      <c r="A1180" s="36"/>
      <c r="B1180" s="38"/>
      <c r="C1180" s="54"/>
      <c r="D1180" s="54"/>
      <c r="E1180" s="55"/>
      <c r="F1180" s="54"/>
      <c r="G1180" s="38"/>
      <c r="H1180" s="38"/>
    </row>
    <row r="1181" spans="1:8" ht="12.75">
      <c r="A1181" s="36"/>
      <c r="B1181" s="38"/>
      <c r="C1181" s="54"/>
      <c r="D1181" s="54"/>
      <c r="E1181" s="55"/>
      <c r="F1181" s="54"/>
      <c r="G1181" s="38"/>
      <c r="H1181" s="38"/>
    </row>
    <row r="1182" spans="1:8" ht="12.75">
      <c r="A1182" s="36"/>
      <c r="B1182" s="38"/>
      <c r="C1182" s="54"/>
      <c r="D1182" s="54"/>
      <c r="E1182" s="55"/>
      <c r="F1182" s="54"/>
      <c r="G1182" s="38"/>
      <c r="H1182" s="38"/>
    </row>
    <row r="1183" spans="1:8" ht="12.75">
      <c r="A1183" s="36"/>
      <c r="B1183" s="38"/>
      <c r="C1183" s="54"/>
      <c r="D1183" s="54"/>
      <c r="E1183" s="55"/>
      <c r="F1183" s="54"/>
      <c r="G1183" s="38"/>
      <c r="H1183" s="38"/>
    </row>
    <row r="1184" spans="1:8" ht="12.75">
      <c r="A1184" s="36"/>
      <c r="B1184" s="38"/>
      <c r="C1184" s="54"/>
      <c r="D1184" s="54"/>
      <c r="E1184" s="55"/>
      <c r="F1184" s="54"/>
      <c r="G1184" s="38"/>
      <c r="H1184" s="38"/>
    </row>
    <row r="1185" spans="1:8" ht="12.75">
      <c r="A1185" s="36"/>
      <c r="B1185" s="38"/>
      <c r="C1185" s="54"/>
      <c r="D1185" s="54"/>
      <c r="E1185" s="55"/>
      <c r="F1185" s="54"/>
      <c r="G1185" s="38"/>
      <c r="H1185" s="38"/>
    </row>
    <row r="1186" spans="1:8" ht="12.75">
      <c r="A1186" s="36"/>
      <c r="B1186" s="38"/>
      <c r="C1186" s="54"/>
      <c r="D1186" s="54"/>
      <c r="E1186" s="55"/>
      <c r="F1186" s="54"/>
      <c r="G1186" s="38"/>
      <c r="H1186" s="38"/>
    </row>
    <row r="1187" spans="1:8" ht="12.75">
      <c r="A1187" s="36"/>
      <c r="B1187" s="38"/>
      <c r="C1187" s="54"/>
      <c r="D1187" s="54"/>
      <c r="E1187" s="55"/>
      <c r="F1187" s="54"/>
      <c r="G1187" s="38"/>
      <c r="H1187" s="38"/>
    </row>
    <row r="1188" spans="1:8" ht="12.75">
      <c r="A1188" s="36"/>
      <c r="B1188" s="38"/>
      <c r="C1188" s="54"/>
      <c r="D1188" s="54"/>
      <c r="E1188" s="55"/>
      <c r="F1188" s="54"/>
      <c r="G1188" s="38"/>
      <c r="H1188" s="38"/>
    </row>
    <row r="1189" spans="1:8" ht="12.75">
      <c r="A1189" s="36"/>
      <c r="B1189" s="38"/>
      <c r="C1189" s="54"/>
      <c r="D1189" s="54"/>
      <c r="E1189" s="55"/>
      <c r="F1189" s="54"/>
      <c r="G1189" s="38"/>
      <c r="H1189" s="38"/>
    </row>
    <row r="1190" spans="1:8" ht="12.75">
      <c r="A1190" s="36"/>
      <c r="B1190" s="38"/>
      <c r="C1190" s="54"/>
      <c r="D1190" s="54"/>
      <c r="E1190" s="55"/>
      <c r="F1190" s="54"/>
      <c r="G1190" s="38"/>
      <c r="H1190" s="38"/>
    </row>
    <row r="1191" spans="1:8" ht="12.75">
      <c r="A1191" s="36"/>
      <c r="B1191" s="38"/>
      <c r="C1191" s="54"/>
      <c r="D1191" s="54"/>
      <c r="E1191" s="55"/>
      <c r="F1191" s="54"/>
      <c r="G1191" s="38"/>
      <c r="H1191" s="38"/>
    </row>
    <row r="1192" spans="1:8" ht="12.75">
      <c r="A1192" s="36"/>
      <c r="B1192" s="38"/>
      <c r="C1192" s="54"/>
      <c r="D1192" s="54"/>
      <c r="E1192" s="55"/>
      <c r="F1192" s="54"/>
      <c r="G1192" s="38"/>
      <c r="H1192" s="38"/>
    </row>
    <row r="1193" spans="1:8" ht="12.75">
      <c r="A1193" s="36"/>
      <c r="B1193" s="38"/>
      <c r="C1193" s="54"/>
      <c r="D1193" s="54"/>
      <c r="E1193" s="55"/>
      <c r="F1193" s="54"/>
      <c r="G1193" s="38"/>
      <c r="H1193" s="38"/>
    </row>
    <row r="1194" spans="1:8" ht="12.75">
      <c r="A1194" s="36"/>
      <c r="B1194" s="38"/>
      <c r="C1194" s="54"/>
      <c r="D1194" s="54"/>
      <c r="E1194" s="55"/>
      <c r="F1194" s="54"/>
      <c r="G1194" s="38"/>
      <c r="H1194" s="38"/>
    </row>
    <row r="1195" spans="1:8" ht="12.75">
      <c r="A1195" s="36"/>
      <c r="B1195" s="38"/>
      <c r="C1195" s="54"/>
      <c r="D1195" s="54"/>
      <c r="E1195" s="55"/>
      <c r="F1195" s="54"/>
      <c r="G1195" s="38"/>
      <c r="H1195" s="38"/>
    </row>
    <row r="1196" spans="1:8" ht="12.75">
      <c r="A1196" s="36"/>
      <c r="B1196" s="38"/>
      <c r="C1196" s="54"/>
      <c r="D1196" s="54"/>
      <c r="E1196" s="55"/>
      <c r="F1196" s="54"/>
      <c r="G1196" s="38"/>
      <c r="H1196" s="38"/>
    </row>
    <row r="1197" spans="1:8" ht="12.75">
      <c r="A1197" s="36"/>
      <c r="B1197" s="38"/>
      <c r="C1197" s="54"/>
      <c r="D1197" s="54"/>
      <c r="E1197" s="55"/>
      <c r="F1197" s="54"/>
      <c r="G1197" s="38"/>
      <c r="H1197" s="38"/>
    </row>
    <row r="1198" spans="1:8" ht="12.75">
      <c r="A1198" s="36"/>
      <c r="B1198" s="38"/>
      <c r="C1198" s="54"/>
      <c r="D1198" s="54"/>
      <c r="E1198" s="55"/>
      <c r="F1198" s="54"/>
      <c r="G1198" s="38"/>
      <c r="H1198" s="38"/>
    </row>
    <row r="1199" spans="1:8" ht="12.75">
      <c r="A1199" s="36"/>
      <c r="B1199" s="38"/>
      <c r="C1199" s="54"/>
      <c r="D1199" s="54"/>
      <c r="E1199" s="55"/>
      <c r="F1199" s="54"/>
      <c r="G1199" s="38"/>
      <c r="H1199" s="38"/>
    </row>
    <row r="1200" spans="1:8" ht="12.75">
      <c r="A1200" s="36"/>
      <c r="B1200" s="38"/>
      <c r="C1200" s="54"/>
      <c r="D1200" s="54"/>
      <c r="E1200" s="55"/>
      <c r="F1200" s="54"/>
      <c r="G1200" s="38"/>
      <c r="H1200" s="38"/>
    </row>
    <row r="1201" spans="1:8" ht="12.75">
      <c r="A1201" s="36"/>
      <c r="B1201" s="38"/>
      <c r="C1201" s="54"/>
      <c r="D1201" s="54"/>
      <c r="E1201" s="55"/>
      <c r="F1201" s="54"/>
      <c r="G1201" s="38"/>
      <c r="H1201" s="38"/>
    </row>
    <row r="1202" spans="1:8" ht="12.75">
      <c r="A1202" s="36"/>
      <c r="B1202" s="38"/>
      <c r="C1202" s="54"/>
      <c r="D1202" s="54"/>
      <c r="E1202" s="55"/>
      <c r="F1202" s="54"/>
      <c r="G1202" s="38"/>
      <c r="H1202" s="38"/>
    </row>
    <row r="1203" spans="1:8" ht="12.75">
      <c r="A1203" s="36"/>
      <c r="B1203" s="38"/>
      <c r="C1203" s="54"/>
      <c r="D1203" s="54"/>
      <c r="E1203" s="55"/>
      <c r="F1203" s="54"/>
      <c r="G1203" s="38"/>
      <c r="H1203" s="38"/>
    </row>
    <row r="1204" spans="1:8" ht="12.75">
      <c r="A1204" s="36"/>
      <c r="B1204" s="38"/>
      <c r="C1204" s="54"/>
      <c r="D1204" s="54"/>
      <c r="E1204" s="55"/>
      <c r="F1204" s="54"/>
      <c r="G1204" s="38"/>
      <c r="H1204" s="38"/>
    </row>
    <row r="1205" spans="1:8" ht="12.75">
      <c r="A1205" s="36"/>
      <c r="B1205" s="38"/>
      <c r="C1205" s="54"/>
      <c r="D1205" s="54"/>
      <c r="E1205" s="55"/>
      <c r="F1205" s="54"/>
      <c r="G1205" s="38"/>
      <c r="H1205" s="38"/>
    </row>
    <row r="1206" spans="1:8" ht="12.75">
      <c r="A1206" s="36"/>
      <c r="B1206" s="38"/>
      <c r="C1206" s="54"/>
      <c r="D1206" s="54"/>
      <c r="E1206" s="55"/>
      <c r="F1206" s="54"/>
      <c r="G1206" s="38"/>
      <c r="H1206" s="38"/>
    </row>
    <row r="1207" spans="1:8" ht="12.75">
      <c r="A1207" s="36"/>
      <c r="B1207" s="38"/>
      <c r="C1207" s="54"/>
      <c r="D1207" s="54"/>
      <c r="E1207" s="55"/>
      <c r="F1207" s="54"/>
      <c r="G1207" s="38"/>
      <c r="H1207" s="38"/>
    </row>
    <row r="1208" spans="1:8" ht="12.75">
      <c r="A1208" s="36"/>
      <c r="B1208" s="38"/>
      <c r="C1208" s="54"/>
      <c r="D1208" s="54"/>
      <c r="E1208" s="55"/>
      <c r="F1208" s="54"/>
      <c r="G1208" s="38"/>
      <c r="H1208" s="38"/>
    </row>
    <row r="1209" spans="1:8" ht="12.75">
      <c r="A1209" s="36"/>
      <c r="B1209" s="38"/>
      <c r="C1209" s="54"/>
      <c r="D1209" s="54"/>
      <c r="E1209" s="55"/>
      <c r="F1209" s="54"/>
      <c r="G1209" s="38"/>
      <c r="H1209" s="38"/>
    </row>
    <row r="1210" spans="1:8" ht="12.75">
      <c r="A1210" s="36"/>
      <c r="B1210" s="38"/>
      <c r="C1210" s="54"/>
      <c r="D1210" s="54"/>
      <c r="E1210" s="55"/>
      <c r="F1210" s="54"/>
      <c r="G1210" s="38"/>
      <c r="H1210" s="38"/>
    </row>
    <row r="1211" spans="1:8" ht="12.75">
      <c r="A1211" s="36"/>
      <c r="B1211" s="38"/>
      <c r="C1211" s="54"/>
      <c r="D1211" s="54"/>
      <c r="E1211" s="55"/>
      <c r="F1211" s="54"/>
      <c r="G1211" s="38"/>
      <c r="H1211" s="38"/>
    </row>
    <row r="1212" spans="1:8" ht="12.75">
      <c r="A1212" s="36"/>
      <c r="B1212" s="38"/>
      <c r="C1212" s="54"/>
      <c r="D1212" s="54"/>
      <c r="E1212" s="55"/>
      <c r="F1212" s="54"/>
      <c r="G1212" s="38"/>
      <c r="H1212" s="38"/>
    </row>
    <row r="1213" spans="1:8" ht="12.75">
      <c r="A1213" s="36"/>
      <c r="B1213" s="38"/>
      <c r="C1213" s="54"/>
      <c r="D1213" s="54"/>
      <c r="E1213" s="55"/>
      <c r="F1213" s="54"/>
      <c r="G1213" s="38"/>
      <c r="H1213" s="38"/>
    </row>
    <row r="1214" spans="1:8" ht="12.75">
      <c r="A1214" s="36"/>
      <c r="B1214" s="38"/>
      <c r="C1214" s="54"/>
      <c r="D1214" s="54"/>
      <c r="E1214" s="55"/>
      <c r="F1214" s="54"/>
      <c r="G1214" s="38"/>
      <c r="H1214" s="38"/>
    </row>
    <row r="1215" spans="1:8" ht="12.75">
      <c r="A1215" s="36"/>
      <c r="B1215" s="38"/>
      <c r="C1215" s="54"/>
      <c r="D1215" s="54"/>
      <c r="E1215" s="55"/>
      <c r="F1215" s="54"/>
      <c r="G1215" s="38"/>
      <c r="H1215" s="38"/>
    </row>
    <row r="1216" spans="1:8" ht="12.75">
      <c r="A1216" s="36"/>
      <c r="B1216" s="38"/>
      <c r="C1216" s="54"/>
      <c r="D1216" s="54"/>
      <c r="E1216" s="55"/>
      <c r="F1216" s="54"/>
      <c r="G1216" s="38"/>
      <c r="H1216" s="38"/>
    </row>
    <row r="1217" spans="1:8" ht="12.75">
      <c r="A1217" s="36"/>
      <c r="B1217" s="38"/>
      <c r="C1217" s="54"/>
      <c r="D1217" s="54"/>
      <c r="E1217" s="55"/>
      <c r="F1217" s="54"/>
      <c r="G1217" s="38"/>
      <c r="H1217" s="38"/>
    </row>
    <row r="1218" spans="1:8" ht="12.75">
      <c r="A1218" s="36"/>
      <c r="B1218" s="38"/>
      <c r="C1218" s="54"/>
      <c r="D1218" s="54"/>
      <c r="E1218" s="55"/>
      <c r="F1218" s="54"/>
      <c r="G1218" s="38"/>
      <c r="H1218" s="38"/>
    </row>
    <row r="1219" spans="1:8" ht="12.75">
      <c r="A1219" s="36"/>
      <c r="B1219" s="38"/>
      <c r="C1219" s="54"/>
      <c r="D1219" s="54"/>
      <c r="E1219" s="55"/>
      <c r="F1219" s="54"/>
      <c r="G1219" s="38"/>
      <c r="H1219" s="38"/>
    </row>
    <row r="1220" spans="1:8" ht="12.75">
      <c r="A1220" s="36"/>
      <c r="B1220" s="38"/>
      <c r="C1220" s="54"/>
      <c r="D1220" s="54"/>
      <c r="E1220" s="55"/>
      <c r="F1220" s="54"/>
      <c r="G1220" s="38"/>
      <c r="H1220" s="38"/>
    </row>
    <row r="1221" spans="1:8" ht="12.75">
      <c r="A1221" s="36"/>
      <c r="B1221" s="38"/>
      <c r="C1221" s="54"/>
      <c r="D1221" s="54"/>
      <c r="E1221" s="55"/>
      <c r="F1221" s="54"/>
      <c r="G1221" s="38"/>
      <c r="H1221" s="38"/>
    </row>
    <row r="1222" spans="1:8" ht="12.75">
      <c r="A1222" s="36"/>
      <c r="B1222" s="38"/>
      <c r="C1222" s="54"/>
      <c r="D1222" s="54"/>
      <c r="E1222" s="55"/>
      <c r="F1222" s="54"/>
      <c r="G1222" s="38"/>
      <c r="H1222" s="38"/>
    </row>
    <row r="1223" spans="1:8" ht="12.75">
      <c r="A1223" s="36"/>
      <c r="B1223" s="38"/>
      <c r="C1223" s="54"/>
      <c r="D1223" s="54"/>
      <c r="E1223" s="55"/>
      <c r="F1223" s="54"/>
      <c r="G1223" s="38"/>
      <c r="H1223" s="38"/>
    </row>
    <row r="1224" spans="1:8" ht="12.75">
      <c r="A1224" s="36"/>
      <c r="B1224" s="38"/>
      <c r="C1224" s="54"/>
      <c r="D1224" s="54"/>
      <c r="E1224" s="55"/>
      <c r="F1224" s="54"/>
      <c r="G1224" s="38"/>
      <c r="H1224" s="38"/>
    </row>
    <row r="1225" spans="1:8" ht="12.75">
      <c r="A1225" s="36"/>
      <c r="B1225" s="38"/>
      <c r="C1225" s="54"/>
      <c r="D1225" s="54"/>
      <c r="E1225" s="55"/>
      <c r="F1225" s="54"/>
      <c r="G1225" s="38"/>
      <c r="H1225" s="38"/>
    </row>
    <row r="1226" spans="1:8" ht="12.75">
      <c r="A1226" s="36"/>
      <c r="B1226" s="38"/>
      <c r="C1226" s="54"/>
      <c r="D1226" s="54"/>
      <c r="E1226" s="55"/>
      <c r="F1226" s="54"/>
      <c r="G1226" s="38"/>
      <c r="H1226" s="38"/>
    </row>
    <row r="1227" spans="1:8" ht="12.75">
      <c r="A1227" s="36"/>
      <c r="B1227" s="38"/>
      <c r="C1227" s="54"/>
      <c r="D1227" s="54"/>
      <c r="E1227" s="55"/>
      <c r="F1227" s="54"/>
      <c r="G1227" s="38"/>
      <c r="H1227" s="38"/>
    </row>
    <row r="1228" spans="1:8" ht="12.75">
      <c r="A1228" s="36"/>
      <c r="B1228" s="38"/>
      <c r="C1228" s="54"/>
      <c r="D1228" s="54"/>
      <c r="E1228" s="55"/>
      <c r="F1228" s="54"/>
      <c r="G1228" s="38"/>
      <c r="H1228" s="38"/>
    </row>
    <row r="1229" spans="1:8" ht="12.75">
      <c r="A1229" s="36"/>
      <c r="B1229" s="38"/>
      <c r="C1229" s="54"/>
      <c r="D1229" s="54"/>
      <c r="E1229" s="55"/>
      <c r="F1229" s="54"/>
      <c r="G1229" s="38"/>
      <c r="H1229" s="38"/>
    </row>
    <row r="1230" spans="1:8" ht="12.75">
      <c r="A1230" s="36"/>
      <c r="B1230" s="38"/>
      <c r="C1230" s="54"/>
      <c r="D1230" s="54"/>
      <c r="E1230" s="55"/>
      <c r="F1230" s="54"/>
      <c r="G1230" s="38"/>
      <c r="H1230" s="38"/>
    </row>
    <row r="1231" spans="1:8" ht="12.75">
      <c r="A1231" s="36"/>
      <c r="B1231" s="38"/>
      <c r="C1231" s="54"/>
      <c r="D1231" s="54"/>
      <c r="E1231" s="55"/>
      <c r="F1231" s="54"/>
      <c r="G1231" s="38"/>
      <c r="H1231" s="38"/>
    </row>
    <row r="1232" spans="1:8" ht="12.75">
      <c r="A1232" s="36"/>
      <c r="B1232" s="38"/>
      <c r="C1232" s="54"/>
      <c r="D1232" s="54"/>
      <c r="E1232" s="55"/>
      <c r="F1232" s="54"/>
      <c r="G1232" s="38"/>
      <c r="H1232" s="38"/>
    </row>
    <row r="1233" spans="1:8" ht="12.75">
      <c r="A1233" s="36"/>
      <c r="B1233" s="38"/>
      <c r="C1233" s="54"/>
      <c r="D1233" s="54"/>
      <c r="E1233" s="55"/>
      <c r="F1233" s="54"/>
      <c r="G1233" s="38"/>
      <c r="H1233" s="38"/>
    </row>
    <row r="1234" spans="1:8" ht="12.75">
      <c r="A1234" s="36"/>
      <c r="B1234" s="38"/>
      <c r="C1234" s="54"/>
      <c r="D1234" s="54"/>
      <c r="E1234" s="55"/>
      <c r="F1234" s="54"/>
      <c r="G1234" s="38"/>
      <c r="H1234" s="38"/>
    </row>
    <row r="1235" spans="1:8" ht="12.75">
      <c r="A1235" s="36"/>
      <c r="B1235" s="38"/>
      <c r="C1235" s="54"/>
      <c r="D1235" s="54"/>
      <c r="E1235" s="55"/>
      <c r="F1235" s="54"/>
      <c r="G1235" s="38"/>
      <c r="H1235" s="38"/>
    </row>
    <row r="1236" spans="1:8" ht="12.75">
      <c r="A1236" s="36"/>
      <c r="B1236" s="38"/>
      <c r="C1236" s="54"/>
      <c r="D1236" s="54"/>
      <c r="E1236" s="55"/>
      <c r="F1236" s="54"/>
      <c r="G1236" s="38"/>
      <c r="H1236" s="38"/>
    </row>
    <row r="1237" spans="1:8" ht="12.75">
      <c r="A1237" s="36"/>
      <c r="B1237" s="38"/>
      <c r="C1237" s="54"/>
      <c r="D1237" s="54"/>
      <c r="E1237" s="55"/>
      <c r="F1237" s="54"/>
      <c r="G1237" s="38"/>
      <c r="H1237" s="38"/>
    </row>
    <row r="1238" spans="1:8" ht="12.75">
      <c r="A1238" s="36"/>
      <c r="B1238" s="38"/>
      <c r="C1238" s="54"/>
      <c r="D1238" s="54"/>
      <c r="E1238" s="55"/>
      <c r="F1238" s="54"/>
      <c r="G1238" s="38"/>
      <c r="H1238" s="38"/>
    </row>
    <row r="1239" spans="1:8" ht="12.75">
      <c r="A1239" s="36"/>
      <c r="B1239" s="38"/>
      <c r="C1239" s="54"/>
      <c r="D1239" s="54"/>
      <c r="E1239" s="55"/>
      <c r="F1239" s="54"/>
      <c r="G1239" s="38"/>
      <c r="H1239" s="38"/>
    </row>
    <row r="1240" spans="1:8" ht="12.75">
      <c r="A1240" s="36"/>
      <c r="B1240" s="38"/>
      <c r="C1240" s="54"/>
      <c r="D1240" s="54"/>
      <c r="E1240" s="55"/>
      <c r="F1240" s="54"/>
      <c r="G1240" s="38"/>
      <c r="H1240" s="38"/>
    </row>
    <row r="1241" spans="1:8" ht="12.75">
      <c r="A1241" s="36"/>
      <c r="B1241" s="38"/>
      <c r="C1241" s="54"/>
      <c r="D1241" s="54"/>
      <c r="E1241" s="55"/>
      <c r="F1241" s="54"/>
      <c r="G1241" s="38"/>
      <c r="H1241" s="38"/>
    </row>
    <row r="1242" spans="1:8" ht="12.75">
      <c r="A1242" s="36"/>
      <c r="B1242" s="38"/>
      <c r="C1242" s="54"/>
      <c r="D1242" s="54"/>
      <c r="E1242" s="55"/>
      <c r="F1242" s="54"/>
      <c r="G1242" s="38"/>
      <c r="H1242" s="38"/>
    </row>
    <row r="1243" spans="1:8" ht="12.75">
      <c r="A1243" s="36"/>
      <c r="B1243" s="38"/>
      <c r="C1243" s="54"/>
      <c r="D1243" s="54"/>
      <c r="E1243" s="55"/>
      <c r="F1243" s="54"/>
      <c r="G1243" s="38"/>
      <c r="H1243" s="38"/>
    </row>
    <row r="1244" spans="1:8" ht="12.75">
      <c r="A1244" s="36"/>
      <c r="B1244" s="38"/>
      <c r="C1244" s="54"/>
      <c r="D1244" s="54"/>
      <c r="E1244" s="55"/>
      <c r="F1244" s="54"/>
      <c r="G1244" s="38"/>
      <c r="H1244" s="38"/>
    </row>
    <row r="1245" spans="1:8" ht="12.75">
      <c r="A1245" s="36"/>
      <c r="B1245" s="38"/>
      <c r="C1245" s="54"/>
      <c r="D1245" s="54"/>
      <c r="E1245" s="55"/>
      <c r="F1245" s="54"/>
      <c r="G1245" s="38"/>
      <c r="H1245" s="38"/>
    </row>
    <row r="1246" spans="1:8" ht="12.75">
      <c r="A1246" s="36"/>
      <c r="B1246" s="38"/>
      <c r="C1246" s="54"/>
      <c r="D1246" s="54"/>
      <c r="E1246" s="55"/>
      <c r="F1246" s="54"/>
      <c r="G1246" s="38"/>
      <c r="H1246" s="38"/>
    </row>
    <row r="1247" spans="1:8" ht="12.75">
      <c r="A1247" s="36"/>
      <c r="B1247" s="38"/>
      <c r="C1247" s="54"/>
      <c r="D1247" s="54"/>
      <c r="E1247" s="55"/>
      <c r="F1247" s="54"/>
      <c r="G1247" s="38"/>
      <c r="H1247" s="38"/>
    </row>
    <row r="1248" spans="1:8" ht="12.75">
      <c r="A1248" s="36"/>
      <c r="B1248" s="38"/>
      <c r="C1248" s="54"/>
      <c r="D1248" s="54"/>
      <c r="E1248" s="55"/>
      <c r="F1248" s="54"/>
      <c r="G1248" s="38"/>
      <c r="H1248" s="38"/>
    </row>
    <row r="1249" spans="1:8" ht="12.75">
      <c r="A1249" s="36"/>
      <c r="B1249" s="38"/>
      <c r="C1249" s="54"/>
      <c r="D1249" s="54"/>
      <c r="E1249" s="55"/>
      <c r="F1249" s="54"/>
      <c r="G1249" s="38"/>
      <c r="H1249" s="38"/>
    </row>
    <row r="1250" spans="1:8" ht="12.75">
      <c r="A1250" s="36"/>
      <c r="B1250" s="38"/>
      <c r="C1250" s="54"/>
      <c r="D1250" s="54"/>
      <c r="E1250" s="55"/>
      <c r="F1250" s="54"/>
      <c r="G1250" s="38"/>
      <c r="H1250" s="38"/>
    </row>
    <row r="1251" spans="1:8" ht="12.75">
      <c r="A1251" s="36"/>
      <c r="B1251" s="38"/>
      <c r="C1251" s="54"/>
      <c r="D1251" s="54"/>
      <c r="E1251" s="55"/>
      <c r="F1251" s="54"/>
      <c r="G1251" s="38"/>
      <c r="H1251" s="38"/>
    </row>
    <row r="1252" spans="1:8" ht="12.75">
      <c r="A1252" s="36"/>
      <c r="B1252" s="38"/>
      <c r="C1252" s="54"/>
      <c r="D1252" s="54"/>
      <c r="E1252" s="55"/>
      <c r="F1252" s="54"/>
      <c r="G1252" s="38"/>
      <c r="H1252" s="38"/>
    </row>
    <row r="1253" spans="1:8" ht="12.75">
      <c r="A1253" s="36"/>
      <c r="B1253" s="38"/>
      <c r="C1253" s="54"/>
      <c r="D1253" s="54"/>
      <c r="E1253" s="55"/>
      <c r="F1253" s="54"/>
      <c r="G1253" s="38"/>
      <c r="H1253" s="38"/>
    </row>
    <row r="1254" spans="1:8" ht="12.75">
      <c r="A1254" s="36"/>
      <c r="B1254" s="38"/>
      <c r="C1254" s="54"/>
      <c r="D1254" s="54"/>
      <c r="E1254" s="55"/>
      <c r="F1254" s="54"/>
      <c r="G1254" s="38"/>
      <c r="H1254" s="38"/>
    </row>
    <row r="1255" spans="1:8" ht="12.75">
      <c r="A1255" s="36"/>
      <c r="B1255" s="38"/>
      <c r="C1255" s="54"/>
      <c r="D1255" s="54"/>
      <c r="E1255" s="55"/>
      <c r="F1255" s="54"/>
      <c r="G1255" s="38"/>
      <c r="H1255" s="38"/>
    </row>
    <row r="1256" spans="1:8" ht="12.75">
      <c r="A1256" s="36"/>
      <c r="B1256" s="38"/>
      <c r="C1256" s="54"/>
      <c r="D1256" s="54"/>
      <c r="E1256" s="55"/>
      <c r="F1256" s="54"/>
      <c r="G1256" s="38"/>
      <c r="H1256" s="38"/>
    </row>
    <row r="1257" spans="1:8" ht="12.75">
      <c r="A1257" s="36"/>
      <c r="B1257" s="38"/>
      <c r="C1257" s="54"/>
      <c r="D1257" s="54"/>
      <c r="E1257" s="55"/>
      <c r="F1257" s="54"/>
      <c r="G1257" s="38"/>
      <c r="H1257" s="38"/>
    </row>
    <row r="1258" spans="1:8" ht="12.75">
      <c r="A1258" s="36"/>
      <c r="B1258" s="38"/>
      <c r="C1258" s="54"/>
      <c r="D1258" s="54"/>
      <c r="E1258" s="55"/>
      <c r="F1258" s="54"/>
      <c r="G1258" s="38"/>
      <c r="H1258" s="38"/>
    </row>
    <row r="1259" spans="1:8" ht="12.75">
      <c r="A1259" s="36"/>
      <c r="B1259" s="38"/>
      <c r="C1259" s="54"/>
      <c r="D1259" s="54"/>
      <c r="E1259" s="55"/>
      <c r="F1259" s="54"/>
      <c r="G1259" s="38"/>
      <c r="H1259" s="38"/>
    </row>
    <row r="1260" spans="1:8" ht="12.75">
      <c r="A1260" s="36"/>
      <c r="B1260" s="38"/>
      <c r="C1260" s="54"/>
      <c r="D1260" s="54"/>
      <c r="E1260" s="55"/>
      <c r="F1260" s="54"/>
      <c r="G1260" s="38"/>
      <c r="H1260" s="38"/>
    </row>
    <row r="1261" spans="1:8" ht="12.75">
      <c r="A1261" s="36"/>
      <c r="B1261" s="38"/>
      <c r="C1261" s="54"/>
      <c r="D1261" s="54"/>
      <c r="E1261" s="55"/>
      <c r="F1261" s="54"/>
      <c r="G1261" s="38"/>
      <c r="H1261" s="38"/>
    </row>
    <row r="1262" spans="1:8" ht="12.75">
      <c r="A1262" s="36"/>
      <c r="B1262" s="38"/>
      <c r="C1262" s="54"/>
      <c r="D1262" s="54"/>
      <c r="E1262" s="55"/>
      <c r="F1262" s="54"/>
      <c r="G1262" s="38"/>
      <c r="H1262" s="38"/>
    </row>
    <row r="1263" spans="1:8" ht="12.75">
      <c r="A1263" s="36"/>
      <c r="B1263" s="38"/>
      <c r="C1263" s="54"/>
      <c r="D1263" s="54"/>
      <c r="E1263" s="55"/>
      <c r="F1263" s="54"/>
      <c r="G1263" s="38"/>
      <c r="H1263" s="38"/>
    </row>
    <row r="1264" spans="1:8" ht="12.75">
      <c r="A1264" s="36"/>
      <c r="B1264" s="38"/>
      <c r="C1264" s="54"/>
      <c r="D1264" s="54"/>
      <c r="E1264" s="55"/>
      <c r="F1264" s="54"/>
      <c r="G1264" s="38"/>
      <c r="H1264" s="38"/>
    </row>
    <row r="1265" spans="1:8" ht="12.75">
      <c r="A1265" s="36"/>
      <c r="B1265" s="38"/>
      <c r="C1265" s="54"/>
      <c r="D1265" s="54"/>
      <c r="E1265" s="55"/>
      <c r="F1265" s="54"/>
      <c r="G1265" s="38"/>
      <c r="H1265" s="38"/>
    </row>
    <row r="1266" spans="1:8" ht="12.75">
      <c r="A1266" s="36"/>
      <c r="B1266" s="38"/>
      <c r="C1266" s="54"/>
      <c r="D1266" s="54"/>
      <c r="E1266" s="55"/>
      <c r="F1266" s="54"/>
      <c r="G1266" s="38"/>
      <c r="H1266" s="38"/>
    </row>
    <row r="1267" spans="1:8" ht="12.75">
      <c r="A1267" s="36"/>
      <c r="B1267" s="38"/>
      <c r="C1267" s="54"/>
      <c r="D1267" s="54"/>
      <c r="E1267" s="55"/>
      <c r="F1267" s="54"/>
      <c r="G1267" s="38"/>
      <c r="H1267" s="38"/>
    </row>
    <row r="1268" spans="1:8" ht="12.75">
      <c r="A1268" s="36"/>
      <c r="B1268" s="38"/>
      <c r="C1268" s="54"/>
      <c r="D1268" s="54"/>
      <c r="E1268" s="55"/>
      <c r="F1268" s="54"/>
      <c r="G1268" s="38"/>
      <c r="H1268" s="38"/>
    </row>
    <row r="1269" spans="1:8" ht="12.75">
      <c r="A1269" s="36"/>
      <c r="B1269" s="38"/>
      <c r="C1269" s="54"/>
      <c r="D1269" s="54"/>
      <c r="E1269" s="55"/>
      <c r="F1269" s="54"/>
      <c r="G1269" s="38"/>
      <c r="H1269" s="38"/>
    </row>
    <row r="1270" spans="1:8" ht="12.75">
      <c r="A1270" s="36"/>
      <c r="B1270" s="38"/>
      <c r="C1270" s="54"/>
      <c r="D1270" s="54"/>
      <c r="E1270" s="55"/>
      <c r="F1270" s="54"/>
      <c r="G1270" s="38"/>
      <c r="H1270" s="38"/>
    </row>
    <row r="1271" spans="1:8" ht="12.75">
      <c r="A1271" s="36"/>
      <c r="B1271" s="38"/>
      <c r="C1271" s="54"/>
      <c r="D1271" s="54"/>
      <c r="E1271" s="55"/>
      <c r="F1271" s="54"/>
      <c r="G1271" s="38"/>
      <c r="H1271" s="38"/>
    </row>
    <row r="1272" spans="1:8" ht="12.75">
      <c r="A1272" s="36"/>
      <c r="B1272" s="38"/>
      <c r="C1272" s="54"/>
      <c r="D1272" s="54"/>
      <c r="E1272" s="55"/>
      <c r="F1272" s="54"/>
      <c r="G1272" s="38"/>
      <c r="H1272" s="38"/>
    </row>
    <row r="1273" spans="1:8" ht="12.75">
      <c r="A1273" s="36"/>
      <c r="B1273" s="38"/>
      <c r="C1273" s="54"/>
      <c r="D1273" s="54"/>
      <c r="E1273" s="55"/>
      <c r="F1273" s="54"/>
      <c r="G1273" s="38"/>
      <c r="H1273" s="38"/>
    </row>
    <row r="1274" spans="1:8" ht="12.75">
      <c r="A1274" s="36"/>
      <c r="B1274" s="38"/>
      <c r="C1274" s="54"/>
      <c r="D1274" s="54"/>
      <c r="E1274" s="55"/>
      <c r="F1274" s="54"/>
      <c r="G1274" s="38"/>
      <c r="H1274" s="38"/>
    </row>
    <row r="1275" spans="1:8" ht="12.75">
      <c r="A1275" s="36"/>
      <c r="B1275" s="38"/>
      <c r="C1275" s="54"/>
      <c r="D1275" s="54"/>
      <c r="E1275" s="55"/>
      <c r="F1275" s="54"/>
      <c r="G1275" s="38"/>
      <c r="H1275" s="38"/>
    </row>
    <row r="1276" spans="1:8" ht="12.75">
      <c r="A1276" s="36"/>
      <c r="B1276" s="38"/>
      <c r="C1276" s="54"/>
      <c r="D1276" s="54"/>
      <c r="E1276" s="55"/>
      <c r="F1276" s="54"/>
      <c r="G1276" s="38"/>
      <c r="H1276" s="38"/>
    </row>
    <row r="1277" spans="1:8" ht="12.75">
      <c r="A1277" s="36"/>
      <c r="B1277" s="38"/>
      <c r="C1277" s="54"/>
      <c r="D1277" s="54"/>
      <c r="E1277" s="55"/>
      <c r="F1277" s="54"/>
      <c r="G1277" s="38"/>
      <c r="H1277" s="38"/>
    </row>
    <row r="1278" spans="1:8" ht="12.75">
      <c r="A1278" s="36"/>
      <c r="B1278" s="38"/>
      <c r="C1278" s="54"/>
      <c r="D1278" s="54"/>
      <c r="E1278" s="55"/>
      <c r="F1278" s="54"/>
      <c r="G1278" s="38"/>
      <c r="H1278" s="38"/>
    </row>
    <row r="1279" spans="1:8" ht="12.75">
      <c r="A1279" s="36"/>
      <c r="B1279" s="38"/>
      <c r="C1279" s="54"/>
      <c r="D1279" s="54"/>
      <c r="E1279" s="55"/>
      <c r="F1279" s="54"/>
      <c r="G1279" s="38"/>
      <c r="H1279" s="38"/>
    </row>
    <row r="1280" spans="1:8" ht="12.75">
      <c r="A1280" s="36"/>
      <c r="B1280" s="38"/>
      <c r="C1280" s="54"/>
      <c r="D1280" s="54"/>
      <c r="E1280" s="55"/>
      <c r="F1280" s="54"/>
      <c r="G1280" s="38"/>
      <c r="H1280" s="38"/>
    </row>
    <row r="1281" spans="1:8" ht="12.75">
      <c r="A1281" s="36"/>
      <c r="B1281" s="38"/>
      <c r="C1281" s="54"/>
      <c r="D1281" s="54"/>
      <c r="E1281" s="55"/>
      <c r="F1281" s="54"/>
      <c r="G1281" s="38"/>
      <c r="H1281" s="38"/>
    </row>
    <row r="1282" spans="1:8" ht="12.75">
      <c r="A1282" s="36"/>
      <c r="B1282" s="38"/>
      <c r="C1282" s="54"/>
      <c r="D1282" s="54"/>
      <c r="E1282" s="55"/>
      <c r="F1282" s="54"/>
      <c r="G1282" s="38"/>
      <c r="H1282" s="38"/>
    </row>
    <row r="1283" spans="1:8" ht="12.75">
      <c r="A1283" s="36"/>
      <c r="B1283" s="38"/>
      <c r="C1283" s="54"/>
      <c r="D1283" s="54"/>
      <c r="E1283" s="55"/>
      <c r="F1283" s="54"/>
      <c r="G1283" s="38"/>
      <c r="H1283" s="38"/>
    </row>
    <row r="1284" spans="1:8" ht="12.75">
      <c r="A1284" s="36"/>
      <c r="B1284" s="38"/>
      <c r="C1284" s="54"/>
      <c r="D1284" s="54"/>
      <c r="E1284" s="55"/>
      <c r="F1284" s="54"/>
      <c r="G1284" s="38"/>
      <c r="H1284" s="38"/>
    </row>
    <row r="1285" spans="1:8" ht="12.75">
      <c r="A1285" s="36"/>
      <c r="B1285" s="38"/>
      <c r="C1285" s="54"/>
      <c r="D1285" s="54"/>
      <c r="E1285" s="55"/>
      <c r="F1285" s="54"/>
      <c r="G1285" s="38"/>
      <c r="H1285" s="38"/>
    </row>
    <row r="1286" spans="1:8" ht="12.75">
      <c r="A1286" s="36"/>
      <c r="B1286" s="38"/>
      <c r="C1286" s="54"/>
      <c r="D1286" s="54"/>
      <c r="E1286" s="55"/>
      <c r="F1286" s="54"/>
      <c r="G1286" s="38"/>
      <c r="H1286" s="38"/>
    </row>
    <row r="1287" spans="1:8" ht="12.75">
      <c r="A1287" s="36"/>
      <c r="B1287" s="38"/>
      <c r="C1287" s="54"/>
      <c r="D1287" s="54"/>
      <c r="E1287" s="55"/>
      <c r="F1287" s="54"/>
      <c r="G1287" s="38"/>
      <c r="H1287" s="38"/>
    </row>
    <row r="1288" spans="1:8" ht="12.75">
      <c r="A1288" s="36"/>
      <c r="B1288" s="38"/>
      <c r="C1288" s="54"/>
      <c r="D1288" s="54"/>
      <c r="E1288" s="55"/>
      <c r="F1288" s="54"/>
      <c r="G1288" s="38"/>
      <c r="H1288" s="38"/>
    </row>
    <row r="1289" spans="1:8" ht="12.75">
      <c r="A1289" s="36"/>
      <c r="B1289" s="38"/>
      <c r="C1289" s="54"/>
      <c r="D1289" s="54"/>
      <c r="E1289" s="55"/>
      <c r="F1289" s="54"/>
      <c r="G1289" s="38"/>
      <c r="H1289" s="38"/>
    </row>
    <row r="1290" spans="1:8" ht="12.75">
      <c r="A1290" s="36"/>
      <c r="B1290" s="38"/>
      <c r="C1290" s="54"/>
      <c r="D1290" s="54"/>
      <c r="E1290" s="55"/>
      <c r="F1290" s="54"/>
      <c r="G1290" s="38"/>
      <c r="H1290" s="38"/>
    </row>
    <row r="1291" spans="1:8" ht="12.75">
      <c r="A1291" s="36"/>
      <c r="B1291" s="38"/>
      <c r="C1291" s="54"/>
      <c r="D1291" s="54"/>
      <c r="E1291" s="55"/>
      <c r="F1291" s="54"/>
      <c r="G1291" s="38"/>
      <c r="H1291" s="38"/>
    </row>
    <row r="1292" spans="1:8" ht="12.75">
      <c r="A1292" s="36"/>
      <c r="B1292" s="38"/>
      <c r="C1292" s="54"/>
      <c r="D1292" s="54"/>
      <c r="E1292" s="55"/>
      <c r="F1292" s="54"/>
      <c r="G1292" s="38"/>
      <c r="H1292" s="38"/>
    </row>
    <row r="1293" spans="1:8" ht="12.75">
      <c r="A1293" s="36"/>
      <c r="B1293" s="38"/>
      <c r="C1293" s="54"/>
      <c r="D1293" s="54"/>
      <c r="E1293" s="55"/>
      <c r="F1293" s="54"/>
      <c r="G1293" s="38"/>
      <c r="H1293" s="38"/>
    </row>
    <row r="1294" spans="1:8" ht="12.75">
      <c r="A1294" s="36"/>
      <c r="B1294" s="38"/>
      <c r="C1294" s="54"/>
      <c r="D1294" s="54"/>
      <c r="E1294" s="55"/>
      <c r="F1294" s="54"/>
      <c r="G1294" s="38"/>
      <c r="H1294" s="38"/>
    </row>
    <row r="1295" spans="1:8" ht="12.75">
      <c r="A1295" s="36"/>
      <c r="B1295" s="38"/>
      <c r="C1295" s="54"/>
      <c r="D1295" s="54"/>
      <c r="E1295" s="55"/>
      <c r="F1295" s="54"/>
      <c r="G1295" s="38"/>
      <c r="H1295" s="38"/>
    </row>
    <row r="1296" spans="1:8" ht="12.75">
      <c r="A1296" s="36"/>
      <c r="B1296" s="38"/>
      <c r="C1296" s="54"/>
      <c r="D1296" s="54"/>
      <c r="E1296" s="55"/>
      <c r="F1296" s="54"/>
      <c r="G1296" s="38"/>
      <c r="H1296" s="38"/>
    </row>
    <row r="1297" spans="1:8" ht="12.75">
      <c r="A1297" s="36"/>
      <c r="B1297" s="38"/>
      <c r="C1297" s="54"/>
      <c r="D1297" s="54"/>
      <c r="E1297" s="55"/>
      <c r="F1297" s="54"/>
      <c r="G1297" s="38"/>
      <c r="H1297" s="38"/>
    </row>
    <row r="1298" spans="1:8" ht="12.75">
      <c r="A1298" s="36"/>
      <c r="B1298" s="38"/>
      <c r="C1298" s="54"/>
      <c r="D1298" s="54"/>
      <c r="E1298" s="55"/>
      <c r="F1298" s="54"/>
      <c r="G1298" s="38"/>
      <c r="H1298" s="38"/>
    </row>
    <row r="1299" spans="1:8" ht="12.75">
      <c r="A1299" s="36"/>
      <c r="B1299" s="38"/>
      <c r="C1299" s="54"/>
      <c r="D1299" s="54"/>
      <c r="E1299" s="55"/>
      <c r="F1299" s="54"/>
      <c r="G1299" s="38"/>
      <c r="H1299" s="38"/>
    </row>
    <row r="1300" spans="1:8" ht="12.75">
      <c r="A1300" s="36"/>
      <c r="B1300" s="38"/>
      <c r="C1300" s="54"/>
      <c r="D1300" s="54"/>
      <c r="E1300" s="55"/>
      <c r="F1300" s="54"/>
      <c r="G1300" s="38"/>
      <c r="H1300" s="38"/>
    </row>
    <row r="1301" spans="1:8" ht="12.75">
      <c r="A1301" s="36"/>
      <c r="B1301" s="38"/>
      <c r="C1301" s="54"/>
      <c r="D1301" s="54"/>
      <c r="E1301" s="55"/>
      <c r="F1301" s="54"/>
      <c r="G1301" s="38"/>
      <c r="H1301" s="38"/>
    </row>
    <row r="1302" spans="1:8" ht="12.75">
      <c r="A1302" s="36"/>
      <c r="B1302" s="38"/>
      <c r="C1302" s="54"/>
      <c r="D1302" s="54"/>
      <c r="E1302" s="55"/>
      <c r="F1302" s="54"/>
      <c r="G1302" s="38"/>
      <c r="H1302" s="38"/>
    </row>
    <row r="1303" spans="1:8" ht="12.75">
      <c r="A1303" s="36"/>
      <c r="B1303" s="38"/>
      <c r="C1303" s="54"/>
      <c r="D1303" s="54"/>
      <c r="E1303" s="55"/>
      <c r="F1303" s="54"/>
      <c r="G1303" s="38"/>
      <c r="H1303" s="38"/>
    </row>
    <row r="1304" spans="1:8" ht="12.75">
      <c r="A1304" s="36"/>
      <c r="B1304" s="38"/>
      <c r="C1304" s="54"/>
      <c r="D1304" s="54"/>
      <c r="E1304" s="55"/>
      <c r="F1304" s="54"/>
      <c r="G1304" s="38"/>
      <c r="H1304" s="38"/>
    </row>
    <row r="1305" spans="1:8" ht="12.75">
      <c r="A1305" s="36"/>
      <c r="B1305" s="38"/>
      <c r="C1305" s="54"/>
      <c r="D1305" s="54"/>
      <c r="E1305" s="55"/>
      <c r="F1305" s="54"/>
      <c r="G1305" s="38"/>
      <c r="H1305" s="38"/>
    </row>
    <row r="1306" spans="1:8" ht="12.75">
      <c r="A1306" s="36"/>
      <c r="B1306" s="38"/>
      <c r="C1306" s="54"/>
      <c r="D1306" s="54"/>
      <c r="E1306" s="55"/>
      <c r="F1306" s="54"/>
      <c r="G1306" s="38"/>
      <c r="H1306" s="38"/>
    </row>
    <row r="1307" spans="1:8" ht="12.75">
      <c r="A1307" s="36"/>
      <c r="B1307" s="38"/>
      <c r="C1307" s="54"/>
      <c r="D1307" s="54"/>
      <c r="E1307" s="55"/>
      <c r="F1307" s="54"/>
      <c r="G1307" s="38"/>
      <c r="H1307" s="38"/>
    </row>
    <row r="1308" spans="1:8" ht="12.75">
      <c r="A1308" s="36"/>
      <c r="B1308" s="38"/>
      <c r="C1308" s="54"/>
      <c r="D1308" s="54"/>
      <c r="E1308" s="55"/>
      <c r="F1308" s="54"/>
      <c r="G1308" s="38"/>
      <c r="H1308" s="38"/>
    </row>
    <row r="1309" spans="1:8" ht="12.75">
      <c r="A1309" s="36"/>
      <c r="B1309" s="38"/>
      <c r="C1309" s="54"/>
      <c r="D1309" s="54"/>
      <c r="E1309" s="55"/>
      <c r="F1309" s="54"/>
      <c r="G1309" s="38"/>
      <c r="H1309" s="38"/>
    </row>
    <row r="1310" spans="1:8" ht="12.75">
      <c r="A1310" s="36"/>
      <c r="B1310" s="38"/>
      <c r="C1310" s="54"/>
      <c r="D1310" s="54"/>
      <c r="E1310" s="55"/>
      <c r="F1310" s="54"/>
      <c r="G1310" s="38"/>
      <c r="H1310" s="38"/>
    </row>
    <row r="1311" spans="1:8" ht="12.75">
      <c r="A1311" s="36"/>
      <c r="B1311" s="38"/>
      <c r="C1311" s="54"/>
      <c r="D1311" s="54"/>
      <c r="E1311" s="55"/>
      <c r="F1311" s="54"/>
      <c r="G1311" s="38"/>
      <c r="H1311" s="38"/>
    </row>
    <row r="1312" spans="1:8" ht="12.75">
      <c r="A1312" s="36"/>
      <c r="B1312" s="38"/>
      <c r="C1312" s="54"/>
      <c r="D1312" s="54"/>
      <c r="E1312" s="55"/>
      <c r="F1312" s="54"/>
      <c r="G1312" s="38"/>
      <c r="H1312" s="38"/>
    </row>
    <row r="1313" spans="1:8" ht="12.75">
      <c r="A1313" s="36"/>
      <c r="B1313" s="38"/>
      <c r="C1313" s="54"/>
      <c r="D1313" s="54"/>
      <c r="E1313" s="55"/>
      <c r="F1313" s="54"/>
      <c r="G1313" s="38"/>
      <c r="H1313" s="38"/>
    </row>
    <row r="1314" spans="1:8" ht="12.75">
      <c r="A1314" s="36"/>
      <c r="B1314" s="38"/>
      <c r="C1314" s="54"/>
      <c r="D1314" s="54"/>
      <c r="E1314" s="55"/>
      <c r="F1314" s="54"/>
      <c r="G1314" s="38"/>
      <c r="H1314" s="38"/>
    </row>
    <row r="1315" spans="1:8" ht="12.75">
      <c r="A1315" s="36"/>
      <c r="B1315" s="38"/>
      <c r="C1315" s="54"/>
      <c r="D1315" s="54"/>
      <c r="E1315" s="55"/>
      <c r="F1315" s="54"/>
      <c r="G1315" s="38"/>
      <c r="H1315" s="38"/>
    </row>
    <row r="1316" spans="1:8" ht="12.75">
      <c r="A1316" s="36"/>
      <c r="B1316" s="38"/>
      <c r="C1316" s="54"/>
      <c r="D1316" s="54"/>
      <c r="E1316" s="55"/>
      <c r="F1316" s="54"/>
      <c r="G1316" s="38"/>
      <c r="H1316" s="38"/>
    </row>
    <row r="1317" spans="1:8" ht="12.75">
      <c r="A1317" s="36"/>
      <c r="B1317" s="38"/>
      <c r="C1317" s="54"/>
      <c r="D1317" s="54"/>
      <c r="E1317" s="55"/>
      <c r="F1317" s="54"/>
      <c r="G1317" s="38"/>
      <c r="H1317" s="38"/>
    </row>
    <row r="1318" spans="1:8" ht="12.75">
      <c r="A1318" s="36"/>
      <c r="B1318" s="38"/>
      <c r="C1318" s="54"/>
      <c r="D1318" s="54"/>
      <c r="E1318" s="55"/>
      <c r="F1318" s="54"/>
      <c r="G1318" s="38"/>
      <c r="H1318" s="38"/>
    </row>
    <row r="1319" spans="1:8" ht="12.75">
      <c r="A1319" s="36"/>
      <c r="B1319" s="38"/>
      <c r="C1319" s="54"/>
      <c r="D1319" s="54"/>
      <c r="E1319" s="55"/>
      <c r="F1319" s="54"/>
      <c r="G1319" s="38"/>
      <c r="H1319" s="38"/>
    </row>
    <row r="1320" spans="1:8" ht="12.75">
      <c r="A1320" s="36"/>
      <c r="B1320" s="38"/>
      <c r="C1320" s="54"/>
      <c r="D1320" s="54"/>
      <c r="E1320" s="55"/>
      <c r="F1320" s="54"/>
      <c r="G1320" s="38"/>
      <c r="H1320" s="38"/>
    </row>
    <row r="1321" spans="1:8" ht="12.75">
      <c r="A1321" s="36"/>
      <c r="B1321" s="38"/>
      <c r="C1321" s="54"/>
      <c r="D1321" s="54"/>
      <c r="E1321" s="55"/>
      <c r="F1321" s="54"/>
      <c r="G1321" s="38"/>
      <c r="H1321" s="38"/>
    </row>
    <row r="1322" spans="1:8" ht="12.75">
      <c r="A1322" s="36"/>
      <c r="B1322" s="38"/>
      <c r="C1322" s="54"/>
      <c r="D1322" s="54"/>
      <c r="E1322" s="55"/>
      <c r="F1322" s="54"/>
      <c r="G1322" s="38"/>
      <c r="H1322" s="38"/>
    </row>
    <row r="1323" spans="1:8" ht="12.75">
      <c r="A1323" s="36"/>
      <c r="B1323" s="38"/>
      <c r="C1323" s="54"/>
      <c r="D1323" s="54"/>
      <c r="E1323" s="55"/>
      <c r="F1323" s="54"/>
      <c r="G1323" s="38"/>
      <c r="H1323" s="38"/>
    </row>
    <row r="1324" spans="1:8" ht="12.75">
      <c r="A1324" s="36"/>
      <c r="B1324" s="38"/>
      <c r="C1324" s="54"/>
      <c r="D1324" s="54"/>
      <c r="E1324" s="55"/>
      <c r="F1324" s="54"/>
      <c r="G1324" s="38"/>
      <c r="H1324" s="38"/>
    </row>
    <row r="1325" spans="1:8" ht="12.75">
      <c r="A1325" s="36"/>
      <c r="B1325" s="38"/>
      <c r="C1325" s="54"/>
      <c r="D1325" s="54"/>
      <c r="E1325" s="55"/>
      <c r="F1325" s="54"/>
      <c r="G1325" s="38"/>
      <c r="H1325" s="38"/>
    </row>
    <row r="1326" spans="1:8" ht="12.75">
      <c r="A1326" s="36"/>
      <c r="B1326" s="38"/>
      <c r="C1326" s="54"/>
      <c r="D1326" s="54"/>
      <c r="E1326" s="55"/>
      <c r="F1326" s="54"/>
      <c r="G1326" s="38"/>
      <c r="H1326" s="38"/>
    </row>
    <row r="1327" spans="1:8" ht="12.75">
      <c r="A1327" s="36"/>
      <c r="B1327" s="38"/>
      <c r="C1327" s="54"/>
      <c r="D1327" s="54"/>
      <c r="E1327" s="55"/>
      <c r="F1327" s="54"/>
      <c r="G1327" s="38"/>
      <c r="H1327" s="38"/>
    </row>
    <row r="1328" spans="1:8" ht="12.75">
      <c r="A1328" s="36"/>
      <c r="B1328" s="38"/>
      <c r="C1328" s="54"/>
      <c r="D1328" s="54"/>
      <c r="E1328" s="55"/>
      <c r="F1328" s="54"/>
      <c r="G1328" s="38"/>
      <c r="H1328" s="38"/>
    </row>
    <row r="1329" spans="1:8" ht="12.75">
      <c r="A1329" s="36"/>
      <c r="B1329" s="38"/>
      <c r="C1329" s="54"/>
      <c r="D1329" s="54"/>
      <c r="E1329" s="55"/>
      <c r="F1329" s="54"/>
      <c r="G1329" s="38"/>
      <c r="H1329" s="38"/>
    </row>
    <row r="1330" spans="1:8" ht="12.75">
      <c r="A1330" s="36"/>
      <c r="B1330" s="38"/>
      <c r="C1330" s="54"/>
      <c r="D1330" s="54"/>
      <c r="E1330" s="55"/>
      <c r="F1330" s="54"/>
      <c r="G1330" s="38"/>
      <c r="H1330" s="38"/>
    </row>
    <row r="1331" spans="1:8" ht="12.75">
      <c r="A1331" s="36"/>
      <c r="B1331" s="38"/>
      <c r="C1331" s="54"/>
      <c r="D1331" s="54"/>
      <c r="E1331" s="55"/>
      <c r="F1331" s="54"/>
      <c r="G1331" s="38"/>
      <c r="H1331" s="38"/>
    </row>
    <row r="1332" spans="1:8" ht="12.75">
      <c r="A1332" s="36"/>
      <c r="B1332" s="38"/>
      <c r="C1332" s="54"/>
      <c r="D1332" s="54"/>
      <c r="E1332" s="55"/>
      <c r="F1332" s="54"/>
      <c r="G1332" s="38"/>
      <c r="H1332" s="38"/>
    </row>
    <row r="1333" spans="1:8" ht="12.75">
      <c r="A1333" s="36"/>
      <c r="B1333" s="38"/>
      <c r="C1333" s="54"/>
      <c r="D1333" s="54"/>
      <c r="E1333" s="55"/>
      <c r="F1333" s="54"/>
      <c r="G1333" s="38"/>
      <c r="H1333" s="38"/>
    </row>
    <row r="1334" spans="1:8" ht="12.75">
      <c r="A1334" s="36"/>
      <c r="B1334" s="38"/>
      <c r="C1334" s="54"/>
      <c r="D1334" s="54"/>
      <c r="E1334" s="55"/>
      <c r="F1334" s="54"/>
      <c r="G1334" s="38"/>
      <c r="H1334" s="38"/>
    </row>
    <row r="1335" spans="1:8" ht="12.75">
      <c r="A1335" s="36"/>
      <c r="B1335" s="38"/>
      <c r="C1335" s="54"/>
      <c r="D1335" s="54"/>
      <c r="E1335" s="55"/>
      <c r="F1335" s="54"/>
      <c r="G1335" s="38"/>
      <c r="H1335" s="38"/>
    </row>
    <row r="1336" spans="1:8" ht="12.75">
      <c r="A1336" s="36"/>
      <c r="B1336" s="38"/>
      <c r="C1336" s="54"/>
      <c r="D1336" s="54"/>
      <c r="E1336" s="55"/>
      <c r="F1336" s="54"/>
      <c r="G1336" s="38"/>
      <c r="H1336" s="38"/>
    </row>
    <row r="1337" spans="1:8" ht="12.75">
      <c r="A1337" s="36"/>
      <c r="B1337" s="38"/>
      <c r="C1337" s="54"/>
      <c r="D1337" s="54"/>
      <c r="E1337" s="55"/>
      <c r="F1337" s="54"/>
      <c r="G1337" s="38"/>
      <c r="H1337" s="38"/>
    </row>
    <row r="1338" spans="1:8" ht="12.75">
      <c r="A1338" s="36"/>
      <c r="B1338" s="38"/>
      <c r="C1338" s="54"/>
      <c r="D1338" s="54"/>
      <c r="E1338" s="55"/>
      <c r="F1338" s="54"/>
      <c r="G1338" s="38"/>
      <c r="H1338" s="38"/>
    </row>
    <row r="1339" spans="1:8" ht="12.75">
      <c r="A1339" s="36"/>
      <c r="B1339" s="38"/>
      <c r="C1339" s="54"/>
      <c r="D1339" s="54"/>
      <c r="E1339" s="55"/>
      <c r="F1339" s="54"/>
      <c r="G1339" s="38"/>
      <c r="H1339" s="38"/>
    </row>
    <row r="1340" spans="1:8" ht="12.75">
      <c r="A1340" s="36"/>
      <c r="B1340" s="38"/>
      <c r="C1340" s="54"/>
      <c r="D1340" s="54"/>
      <c r="E1340" s="55"/>
      <c r="F1340" s="54"/>
      <c r="G1340" s="38"/>
      <c r="H1340" s="38"/>
    </row>
    <row r="1341" spans="1:8" ht="12.75">
      <c r="A1341" s="36"/>
      <c r="B1341" s="38"/>
      <c r="C1341" s="54"/>
      <c r="D1341" s="54"/>
      <c r="E1341" s="55"/>
      <c r="F1341" s="54"/>
      <c r="G1341" s="38"/>
      <c r="H1341" s="38"/>
    </row>
    <row r="1342" spans="1:8" ht="12.75">
      <c r="A1342" s="36"/>
      <c r="B1342" s="38"/>
      <c r="C1342" s="54"/>
      <c r="D1342" s="54"/>
      <c r="E1342" s="55"/>
      <c r="F1342" s="54"/>
      <c r="G1342" s="38"/>
      <c r="H1342" s="38"/>
    </row>
    <row r="1343" spans="1:8" ht="12.75">
      <c r="A1343" s="36"/>
      <c r="B1343" s="38"/>
      <c r="C1343" s="54"/>
      <c r="D1343" s="54"/>
      <c r="E1343" s="55"/>
      <c r="F1343" s="54"/>
      <c r="G1343" s="38"/>
      <c r="H1343" s="38"/>
    </row>
    <row r="1344" spans="1:8" ht="12.75">
      <c r="A1344" s="36"/>
      <c r="B1344" s="38"/>
      <c r="C1344" s="54"/>
      <c r="D1344" s="54"/>
      <c r="E1344" s="55"/>
      <c r="F1344" s="54"/>
      <c r="G1344" s="38"/>
      <c r="H1344" s="38"/>
    </row>
    <row r="1345" spans="1:8" ht="12.75">
      <c r="A1345" s="36"/>
      <c r="B1345" s="38"/>
      <c r="C1345" s="54"/>
      <c r="D1345" s="54"/>
      <c r="E1345" s="55"/>
      <c r="F1345" s="54"/>
      <c r="G1345" s="38"/>
      <c r="H1345" s="38"/>
    </row>
    <row r="1346" spans="1:8" ht="12.75">
      <c r="A1346" s="36"/>
      <c r="B1346" s="38"/>
      <c r="C1346" s="54"/>
      <c r="D1346" s="54"/>
      <c r="E1346" s="55"/>
      <c r="F1346" s="54"/>
      <c r="G1346" s="38"/>
      <c r="H1346" s="38"/>
    </row>
    <row r="1347" spans="1:8" ht="12.75">
      <c r="A1347" s="36"/>
      <c r="B1347" s="38"/>
      <c r="C1347" s="54"/>
      <c r="D1347" s="54"/>
      <c r="E1347" s="55"/>
      <c r="F1347" s="54"/>
      <c r="G1347" s="38"/>
      <c r="H1347" s="38"/>
    </row>
    <row r="1348" spans="1:8" ht="12.75">
      <c r="A1348" s="36"/>
      <c r="B1348" s="38"/>
      <c r="C1348" s="54"/>
      <c r="D1348" s="54"/>
      <c r="E1348" s="55"/>
      <c r="F1348" s="54"/>
      <c r="G1348" s="38"/>
      <c r="H1348" s="38"/>
    </row>
    <row r="1349" spans="1:8" ht="12.75">
      <c r="A1349" s="36"/>
      <c r="B1349" s="38"/>
      <c r="C1349" s="54"/>
      <c r="D1349" s="54"/>
      <c r="E1349" s="55"/>
      <c r="F1349" s="54"/>
      <c r="G1349" s="38"/>
      <c r="H1349" s="38"/>
    </row>
    <row r="1350" spans="1:8" ht="12.75">
      <c r="A1350" s="36"/>
      <c r="B1350" s="38"/>
      <c r="C1350" s="54"/>
      <c r="D1350" s="54"/>
      <c r="E1350" s="55"/>
      <c r="F1350" s="54"/>
      <c r="G1350" s="38"/>
      <c r="H1350" s="38"/>
    </row>
    <row r="1351" spans="1:8" ht="12.75">
      <c r="A1351" s="36"/>
      <c r="B1351" s="38"/>
      <c r="C1351" s="54"/>
      <c r="D1351" s="54"/>
      <c r="E1351" s="55"/>
      <c r="F1351" s="54"/>
      <c r="G1351" s="38"/>
      <c r="H1351" s="38"/>
    </row>
    <row r="1352" spans="1:8" ht="12.75">
      <c r="A1352" s="36"/>
      <c r="B1352" s="38"/>
      <c r="C1352" s="54"/>
      <c r="D1352" s="54"/>
      <c r="E1352" s="55"/>
      <c r="F1352" s="54"/>
      <c r="G1352" s="38"/>
      <c r="H1352" s="38"/>
    </row>
    <row r="1353" spans="1:8" ht="12.75">
      <c r="A1353" s="36"/>
      <c r="B1353" s="38"/>
      <c r="C1353" s="54"/>
      <c r="D1353" s="54"/>
      <c r="E1353" s="55"/>
      <c r="F1353" s="54"/>
      <c r="G1353" s="38"/>
      <c r="H1353" s="38"/>
    </row>
    <row r="1354" spans="1:8" ht="12.75">
      <c r="A1354" s="36"/>
      <c r="B1354" s="38"/>
      <c r="C1354" s="54"/>
      <c r="D1354" s="54"/>
      <c r="E1354" s="55"/>
      <c r="F1354" s="54"/>
      <c r="G1354" s="38"/>
      <c r="H1354" s="38"/>
    </row>
    <row r="1355" spans="1:8" ht="12.75">
      <c r="A1355" s="36"/>
      <c r="B1355" s="38"/>
      <c r="C1355" s="54"/>
      <c r="D1355" s="54"/>
      <c r="E1355" s="55"/>
      <c r="F1355" s="54"/>
      <c r="G1355" s="38"/>
      <c r="H1355" s="38"/>
    </row>
    <row r="1356" spans="1:8" ht="12.75">
      <c r="A1356" s="36"/>
      <c r="B1356" s="38"/>
      <c r="C1356" s="54"/>
      <c r="D1356" s="54"/>
      <c r="E1356" s="55"/>
      <c r="F1356" s="54"/>
      <c r="G1356" s="38"/>
      <c r="H1356" s="38"/>
    </row>
    <row r="1357" spans="1:8" ht="12.75">
      <c r="A1357" s="36"/>
      <c r="B1357" s="38"/>
      <c r="C1357" s="54"/>
      <c r="D1357" s="54"/>
      <c r="E1357" s="55"/>
      <c r="F1357" s="54"/>
      <c r="G1357" s="38"/>
      <c r="H1357" s="38"/>
    </row>
    <row r="1358" spans="1:8" ht="12.75">
      <c r="A1358" s="36"/>
      <c r="B1358" s="38"/>
      <c r="C1358" s="54"/>
      <c r="D1358" s="54"/>
      <c r="E1358" s="55"/>
      <c r="F1358" s="54"/>
      <c r="G1358" s="38"/>
      <c r="H1358" s="38"/>
    </row>
    <row r="1359" spans="1:8" ht="12.75">
      <c r="A1359" s="36"/>
      <c r="B1359" s="38"/>
      <c r="C1359" s="54"/>
      <c r="D1359" s="54"/>
      <c r="E1359" s="55"/>
      <c r="F1359" s="54"/>
      <c r="G1359" s="38"/>
      <c r="H1359" s="38"/>
    </row>
    <row r="1360" spans="1:8" ht="12.75">
      <c r="A1360" s="36"/>
      <c r="B1360" s="38"/>
      <c r="C1360" s="54"/>
      <c r="D1360" s="54"/>
      <c r="E1360" s="55"/>
      <c r="F1360" s="54"/>
      <c r="G1360" s="38"/>
      <c r="H1360" s="38"/>
    </row>
    <row r="1361" spans="1:8" ht="12.75">
      <c r="A1361" s="36"/>
      <c r="B1361" s="38"/>
      <c r="C1361" s="54"/>
      <c r="D1361" s="54"/>
      <c r="E1361" s="55"/>
      <c r="F1361" s="54"/>
      <c r="G1361" s="38"/>
      <c r="H1361" s="38"/>
    </row>
    <row r="1362" spans="1:8" ht="12.75">
      <c r="A1362" s="36"/>
      <c r="B1362" s="38"/>
      <c r="C1362" s="54"/>
      <c r="D1362" s="54"/>
      <c r="E1362" s="55"/>
      <c r="F1362" s="54"/>
      <c r="G1362" s="38"/>
      <c r="H1362" s="38"/>
    </row>
    <row r="1363" spans="1:8" ht="12.75">
      <c r="A1363" s="36"/>
      <c r="B1363" s="38"/>
      <c r="C1363" s="54"/>
      <c r="D1363" s="54"/>
      <c r="E1363" s="55"/>
      <c r="F1363" s="54"/>
      <c r="G1363" s="38"/>
      <c r="H1363" s="38"/>
    </row>
    <row r="1364" spans="1:8" ht="12.75">
      <c r="A1364" s="36"/>
      <c r="B1364" s="38"/>
      <c r="C1364" s="54"/>
      <c r="D1364" s="54"/>
      <c r="E1364" s="55"/>
      <c r="F1364" s="54"/>
      <c r="G1364" s="38"/>
      <c r="H1364" s="38"/>
    </row>
    <row r="1365" spans="1:8" ht="12.75">
      <c r="A1365" s="36"/>
      <c r="B1365" s="38"/>
      <c r="C1365" s="54"/>
      <c r="D1365" s="54"/>
      <c r="E1365" s="55"/>
      <c r="F1365" s="54"/>
      <c r="G1365" s="38"/>
      <c r="H1365" s="38"/>
    </row>
    <row r="1366" spans="1:8" ht="12.75">
      <c r="A1366" s="36"/>
      <c r="B1366" s="38"/>
      <c r="C1366" s="54"/>
      <c r="D1366" s="54"/>
      <c r="E1366" s="55"/>
      <c r="F1366" s="54"/>
      <c r="G1366" s="38"/>
      <c r="H1366" s="38"/>
    </row>
    <row r="1367" spans="1:8" ht="12.75">
      <c r="A1367" s="36"/>
      <c r="B1367" s="38"/>
      <c r="C1367" s="54"/>
      <c r="D1367" s="54"/>
      <c r="E1367" s="55"/>
      <c r="F1367" s="54"/>
      <c r="G1367" s="38"/>
      <c r="H1367" s="38"/>
    </row>
    <row r="1368" spans="1:8" ht="12.75">
      <c r="A1368" s="36"/>
      <c r="B1368" s="38"/>
      <c r="C1368" s="54"/>
      <c r="D1368" s="54"/>
      <c r="E1368" s="55"/>
      <c r="F1368" s="54"/>
      <c r="G1368" s="38"/>
      <c r="H1368" s="38"/>
    </row>
    <row r="1369" spans="1:8" ht="12.75">
      <c r="A1369" s="36"/>
      <c r="B1369" s="38"/>
      <c r="C1369" s="54"/>
      <c r="D1369" s="54"/>
      <c r="E1369" s="55"/>
      <c r="F1369" s="54"/>
      <c r="G1369" s="38"/>
      <c r="H1369" s="38"/>
    </row>
    <row r="1370" spans="1:8" ht="12.75">
      <c r="A1370" s="36"/>
      <c r="B1370" s="38"/>
      <c r="C1370" s="54"/>
      <c r="D1370" s="54"/>
      <c r="E1370" s="55"/>
      <c r="F1370" s="54"/>
      <c r="G1370" s="38"/>
      <c r="H1370" s="38"/>
    </row>
    <row r="1371" spans="1:8" ht="12.75">
      <c r="A1371" s="36"/>
      <c r="B1371" s="38"/>
      <c r="C1371" s="54"/>
      <c r="D1371" s="54"/>
      <c r="E1371" s="55"/>
      <c r="F1371" s="54"/>
      <c r="G1371" s="38"/>
      <c r="H1371" s="38"/>
    </row>
    <row r="1372" spans="1:8" ht="12.75">
      <c r="A1372" s="36"/>
      <c r="B1372" s="38"/>
      <c r="C1372" s="54"/>
      <c r="D1372" s="54"/>
      <c r="E1372" s="55"/>
      <c r="F1372" s="54"/>
      <c r="G1372" s="38"/>
      <c r="H1372" s="38"/>
    </row>
    <row r="1373" spans="1:8" ht="12.75">
      <c r="A1373" s="36"/>
      <c r="B1373" s="38"/>
      <c r="C1373" s="54"/>
      <c r="D1373" s="54"/>
      <c r="E1373" s="55"/>
      <c r="F1373" s="54"/>
      <c r="G1373" s="38"/>
      <c r="H1373" s="38"/>
    </row>
    <row r="1374" spans="1:8" ht="12.75">
      <c r="A1374" s="36"/>
      <c r="B1374" s="38"/>
      <c r="C1374" s="54"/>
      <c r="D1374" s="54"/>
      <c r="E1374" s="55"/>
      <c r="F1374" s="54"/>
      <c r="G1374" s="38"/>
      <c r="H1374" s="38"/>
    </row>
    <row r="1375" spans="1:8" ht="12.75">
      <c r="A1375" s="36"/>
      <c r="B1375" s="38"/>
      <c r="C1375" s="54"/>
      <c r="D1375" s="54"/>
      <c r="E1375" s="55"/>
      <c r="F1375" s="54"/>
      <c r="G1375" s="38"/>
      <c r="H1375" s="38"/>
    </row>
    <row r="1376" spans="1:8" ht="12.75">
      <c r="A1376" s="36"/>
      <c r="B1376" s="38"/>
      <c r="C1376" s="54"/>
      <c r="D1376" s="54"/>
      <c r="E1376" s="55"/>
      <c r="F1376" s="54"/>
      <c r="G1376" s="38"/>
      <c r="H1376" s="38"/>
    </row>
    <row r="1377" spans="1:8" ht="12.75">
      <c r="A1377" s="36"/>
      <c r="B1377" s="38"/>
      <c r="C1377" s="54"/>
      <c r="D1377" s="54"/>
      <c r="E1377" s="55"/>
      <c r="F1377" s="54"/>
      <c r="G1377" s="38"/>
      <c r="H1377" s="38"/>
    </row>
    <row r="1378" spans="1:8" ht="12.75">
      <c r="A1378" s="36"/>
      <c r="B1378" s="38"/>
      <c r="C1378" s="54"/>
      <c r="D1378" s="54"/>
      <c r="E1378" s="55"/>
      <c r="F1378" s="54"/>
      <c r="G1378" s="38"/>
      <c r="H1378" s="38"/>
    </row>
    <row r="1379" spans="1:8" ht="12.75">
      <c r="A1379" s="36"/>
      <c r="B1379" s="38"/>
      <c r="C1379" s="54"/>
      <c r="D1379" s="54"/>
      <c r="E1379" s="55"/>
      <c r="F1379" s="54"/>
      <c r="G1379" s="38"/>
      <c r="H1379" s="38"/>
    </row>
    <row r="1380" spans="1:8" ht="12.75">
      <c r="A1380" s="36"/>
      <c r="B1380" s="38"/>
      <c r="C1380" s="54"/>
      <c r="D1380" s="54"/>
      <c r="E1380" s="55"/>
      <c r="F1380" s="54"/>
      <c r="G1380" s="38"/>
      <c r="H1380" s="38"/>
    </row>
    <row r="1381" spans="1:8" ht="12.75">
      <c r="A1381" s="36"/>
      <c r="B1381" s="38"/>
      <c r="C1381" s="54"/>
      <c r="D1381" s="54"/>
      <c r="E1381" s="55"/>
      <c r="F1381" s="54"/>
      <c r="G1381" s="38"/>
      <c r="H1381" s="38"/>
    </row>
    <row r="1382" spans="1:8" ht="12.75">
      <c r="A1382" s="36"/>
      <c r="B1382" s="38"/>
      <c r="C1382" s="54"/>
      <c r="D1382" s="54"/>
      <c r="E1382" s="55"/>
      <c r="F1382" s="54"/>
      <c r="G1382" s="38"/>
      <c r="H1382" s="38"/>
    </row>
    <row r="1383" spans="1:8" ht="12.75">
      <c r="A1383" s="36"/>
      <c r="B1383" s="38"/>
      <c r="C1383" s="54"/>
      <c r="D1383" s="54"/>
      <c r="E1383" s="55"/>
      <c r="F1383" s="54"/>
      <c r="G1383" s="38"/>
      <c r="H1383" s="38"/>
    </row>
    <row r="1384" spans="1:8" ht="12.75">
      <c r="A1384" s="36"/>
      <c r="B1384" s="38"/>
      <c r="C1384" s="54"/>
      <c r="D1384" s="54"/>
      <c r="E1384" s="55"/>
      <c r="F1384" s="54"/>
      <c r="G1384" s="38"/>
      <c r="H1384" s="38"/>
    </row>
    <row r="1385" spans="1:8" ht="12.75">
      <c r="A1385" s="36"/>
      <c r="B1385" s="38"/>
      <c r="C1385" s="54"/>
      <c r="D1385" s="54"/>
      <c r="E1385" s="55"/>
      <c r="F1385" s="54"/>
      <c r="G1385" s="38"/>
      <c r="H1385" s="38"/>
    </row>
    <row r="1386" spans="1:8" ht="12.75">
      <c r="A1386" s="36"/>
      <c r="B1386" s="38"/>
      <c r="C1386" s="54"/>
      <c r="D1386" s="54"/>
      <c r="E1386" s="55"/>
      <c r="F1386" s="54"/>
      <c r="G1386" s="38"/>
      <c r="H1386" s="38"/>
    </row>
    <row r="1387" spans="1:8" ht="12.75">
      <c r="A1387" s="36"/>
      <c r="B1387" s="38"/>
      <c r="C1387" s="54"/>
      <c r="D1387" s="54"/>
      <c r="E1387" s="55"/>
      <c r="F1387" s="54"/>
      <c r="G1387" s="38"/>
      <c r="H1387" s="38"/>
    </row>
    <row r="1388" spans="1:8" ht="12.75">
      <c r="A1388" s="36"/>
      <c r="B1388" s="38"/>
      <c r="C1388" s="54"/>
      <c r="D1388" s="54"/>
      <c r="E1388" s="55"/>
      <c r="F1388" s="54"/>
      <c r="G1388" s="38"/>
      <c r="H1388" s="38"/>
    </row>
    <row r="1389" spans="1:8" ht="12.75">
      <c r="A1389" s="36"/>
      <c r="B1389" s="38"/>
      <c r="C1389" s="54"/>
      <c r="D1389" s="54"/>
      <c r="E1389" s="55"/>
      <c r="F1389" s="54"/>
      <c r="G1389" s="38"/>
      <c r="H1389" s="38"/>
    </row>
    <row r="1390" spans="1:8" ht="12.75">
      <c r="A1390" s="36"/>
      <c r="B1390" s="38"/>
      <c r="C1390" s="54"/>
      <c r="D1390" s="54"/>
      <c r="E1390" s="55"/>
      <c r="F1390" s="54"/>
      <c r="G1390" s="38"/>
      <c r="H1390" s="38"/>
    </row>
    <row r="1391" spans="1:8" ht="12.75">
      <c r="A1391" s="36"/>
      <c r="B1391" s="38"/>
      <c r="C1391" s="54"/>
      <c r="D1391" s="54"/>
      <c r="E1391" s="55"/>
      <c r="F1391" s="54"/>
      <c r="G1391" s="38"/>
      <c r="H1391" s="38"/>
    </row>
    <row r="1392" spans="1:8" ht="12.75">
      <c r="A1392" s="36"/>
      <c r="B1392" s="38"/>
      <c r="C1392" s="54"/>
      <c r="D1392" s="54"/>
      <c r="E1392" s="55"/>
      <c r="F1392" s="54"/>
      <c r="G1392" s="38"/>
      <c r="H1392" s="38"/>
    </row>
    <row r="1393" spans="1:8" ht="12.75">
      <c r="A1393" s="36"/>
      <c r="B1393" s="38"/>
      <c r="C1393" s="54"/>
      <c r="D1393" s="54"/>
      <c r="E1393" s="55"/>
      <c r="F1393" s="54"/>
      <c r="G1393" s="38"/>
      <c r="H1393" s="38"/>
    </row>
    <row r="1394" spans="1:8" ht="12.75">
      <c r="A1394" s="36"/>
      <c r="B1394" s="38"/>
      <c r="C1394" s="54"/>
      <c r="D1394" s="54"/>
      <c r="E1394" s="55"/>
      <c r="F1394" s="54"/>
      <c r="G1394" s="38"/>
      <c r="H1394" s="38"/>
    </row>
    <row r="1395" spans="1:8" ht="12.75">
      <c r="A1395" s="36"/>
      <c r="B1395" s="38"/>
      <c r="C1395" s="54"/>
      <c r="D1395" s="54"/>
      <c r="E1395" s="55"/>
      <c r="F1395" s="54"/>
      <c r="G1395" s="38"/>
      <c r="H1395" s="38"/>
    </row>
    <row r="1396" spans="1:8" ht="12.75">
      <c r="A1396" s="36"/>
      <c r="B1396" s="38"/>
      <c r="C1396" s="54"/>
      <c r="D1396" s="54"/>
      <c r="E1396" s="55"/>
      <c r="F1396" s="54"/>
      <c r="G1396" s="38"/>
      <c r="H1396" s="38"/>
    </row>
    <row r="1397" spans="1:8" ht="12.75">
      <c r="A1397" s="36"/>
      <c r="B1397" s="38"/>
      <c r="C1397" s="54"/>
      <c r="D1397" s="54"/>
      <c r="E1397" s="55"/>
      <c r="F1397" s="54"/>
      <c r="G1397" s="38"/>
      <c r="H1397" s="38"/>
    </row>
    <row r="1398" spans="1:8" ht="12.75">
      <c r="A1398" s="36"/>
      <c r="B1398" s="38"/>
      <c r="C1398" s="54"/>
      <c r="D1398" s="54"/>
      <c r="E1398" s="55"/>
      <c r="F1398" s="54"/>
      <c r="G1398" s="38"/>
      <c r="H1398" s="38"/>
    </row>
    <row r="1399" spans="1:8" ht="12.75">
      <c r="A1399" s="36"/>
      <c r="B1399" s="38"/>
      <c r="C1399" s="54"/>
      <c r="D1399" s="54"/>
      <c r="E1399" s="55"/>
      <c r="F1399" s="54"/>
      <c r="G1399" s="38"/>
      <c r="H1399" s="38"/>
    </row>
    <row r="1400" spans="1:8" ht="12.75">
      <c r="A1400" s="36"/>
      <c r="B1400" s="38"/>
      <c r="C1400" s="54"/>
      <c r="D1400" s="54"/>
      <c r="E1400" s="55"/>
      <c r="F1400" s="54"/>
      <c r="G1400" s="38"/>
      <c r="H1400" s="38"/>
    </row>
    <row r="1401" spans="1:8" ht="12.75">
      <c r="A1401" s="36"/>
      <c r="B1401" s="38"/>
      <c r="C1401" s="54"/>
      <c r="D1401" s="54"/>
      <c r="E1401" s="55"/>
      <c r="F1401" s="54"/>
      <c r="G1401" s="38"/>
      <c r="H1401" s="38"/>
    </row>
    <row r="1402" spans="1:8" ht="12.75">
      <c r="A1402" s="36"/>
      <c r="B1402" s="38"/>
      <c r="C1402" s="54"/>
      <c r="D1402" s="54"/>
      <c r="E1402" s="55"/>
      <c r="F1402" s="54"/>
      <c r="G1402" s="38"/>
      <c r="H1402" s="38"/>
    </row>
    <row r="1403" spans="1:8" ht="12.75">
      <c r="A1403" s="36"/>
      <c r="B1403" s="38"/>
      <c r="C1403" s="54"/>
      <c r="D1403" s="54"/>
      <c r="E1403" s="55"/>
      <c r="F1403" s="54"/>
      <c r="G1403" s="38"/>
      <c r="H1403" s="38"/>
    </row>
    <row r="1404" spans="1:8" ht="12.75">
      <c r="A1404" s="36"/>
      <c r="B1404" s="38"/>
      <c r="C1404" s="54"/>
      <c r="D1404" s="54"/>
      <c r="E1404" s="55"/>
      <c r="F1404" s="54"/>
      <c r="G1404" s="38"/>
      <c r="H1404" s="38"/>
    </row>
    <row r="1405" spans="1:8" ht="12.75">
      <c r="A1405" s="36"/>
      <c r="B1405" s="38"/>
      <c r="C1405" s="54"/>
      <c r="D1405" s="54"/>
      <c r="E1405" s="55"/>
      <c r="F1405" s="54"/>
      <c r="G1405" s="38"/>
      <c r="H1405" s="38"/>
    </row>
    <row r="1406" spans="1:8" ht="12.75">
      <c r="A1406" s="36"/>
      <c r="B1406" s="38"/>
      <c r="C1406" s="54"/>
      <c r="D1406" s="54"/>
      <c r="E1406" s="55"/>
      <c r="F1406" s="54"/>
      <c r="G1406" s="38"/>
      <c r="H1406" s="38"/>
    </row>
    <row r="1407" spans="1:8" ht="12.75">
      <c r="A1407" s="36"/>
      <c r="B1407" s="38"/>
      <c r="C1407" s="54"/>
      <c r="D1407" s="54"/>
      <c r="E1407" s="55"/>
      <c r="F1407" s="54"/>
      <c r="G1407" s="38"/>
      <c r="H1407" s="38"/>
    </row>
    <row r="1408" spans="1:8" ht="12.75">
      <c r="A1408" s="36"/>
      <c r="B1408" s="38"/>
      <c r="C1408" s="54"/>
      <c r="D1408" s="54"/>
      <c r="E1408" s="55"/>
      <c r="F1408" s="54"/>
      <c r="G1408" s="38"/>
      <c r="H1408" s="38"/>
    </row>
    <row r="1409" spans="1:8" ht="12.75">
      <c r="A1409" s="36"/>
      <c r="B1409" s="38"/>
      <c r="C1409" s="54"/>
      <c r="D1409" s="54"/>
      <c r="E1409" s="55"/>
      <c r="F1409" s="54"/>
      <c r="G1409" s="38"/>
      <c r="H1409" s="38"/>
    </row>
    <row r="1410" spans="1:8" ht="12.75">
      <c r="A1410" s="36"/>
      <c r="B1410" s="38"/>
      <c r="C1410" s="54"/>
      <c r="D1410" s="54"/>
      <c r="E1410" s="55"/>
      <c r="F1410" s="54"/>
      <c r="G1410" s="38"/>
      <c r="H1410" s="38"/>
    </row>
    <row r="1411" spans="1:8" ht="12.75">
      <c r="A1411" s="36"/>
      <c r="B1411" s="38"/>
      <c r="C1411" s="54"/>
      <c r="D1411" s="54"/>
      <c r="E1411" s="55"/>
      <c r="F1411" s="54"/>
      <c r="G1411" s="38"/>
      <c r="H1411" s="38"/>
    </row>
    <row r="1412" spans="1:8" ht="12.75">
      <c r="A1412" s="36"/>
      <c r="B1412" s="38"/>
      <c r="C1412" s="54"/>
      <c r="D1412" s="54"/>
      <c r="E1412" s="55"/>
      <c r="F1412" s="54"/>
      <c r="G1412" s="38"/>
      <c r="H1412" s="38"/>
    </row>
    <row r="1413" spans="1:8" ht="12.75">
      <c r="A1413" s="36"/>
      <c r="B1413" s="38"/>
      <c r="C1413" s="54"/>
      <c r="D1413" s="54"/>
      <c r="E1413" s="55"/>
      <c r="F1413" s="54"/>
      <c r="G1413" s="38"/>
      <c r="H1413" s="38"/>
    </row>
    <row r="1414" spans="1:8" ht="12.75">
      <c r="A1414" s="36"/>
      <c r="B1414" s="38"/>
      <c r="C1414" s="54"/>
      <c r="D1414" s="54"/>
      <c r="E1414" s="55"/>
      <c r="F1414" s="54"/>
      <c r="G1414" s="38"/>
      <c r="H1414" s="38"/>
    </row>
    <row r="1415" spans="1:8" ht="12.75">
      <c r="A1415" s="36"/>
      <c r="B1415" s="38"/>
      <c r="C1415" s="54"/>
      <c r="D1415" s="54"/>
      <c r="E1415" s="55"/>
      <c r="F1415" s="54"/>
      <c r="G1415" s="38"/>
      <c r="H1415" s="38"/>
    </row>
    <row r="1416" spans="1:8" ht="12.75">
      <c r="A1416" s="36"/>
      <c r="B1416" s="38"/>
      <c r="C1416" s="54"/>
      <c r="D1416" s="54"/>
      <c r="E1416" s="55"/>
      <c r="F1416" s="54"/>
      <c r="G1416" s="38"/>
      <c r="H1416" s="38"/>
    </row>
    <row r="1417" spans="1:8" ht="12.75">
      <c r="A1417" s="36"/>
      <c r="B1417" s="38"/>
      <c r="C1417" s="54"/>
      <c r="D1417" s="54"/>
      <c r="E1417" s="55"/>
      <c r="F1417" s="54"/>
      <c r="G1417" s="38"/>
      <c r="H1417" s="38"/>
    </row>
    <row r="1418" spans="1:8" ht="12.75">
      <c r="A1418" s="36"/>
      <c r="B1418" s="38"/>
      <c r="C1418" s="54"/>
      <c r="D1418" s="54"/>
      <c r="E1418" s="55"/>
      <c r="F1418" s="54"/>
      <c r="G1418" s="38"/>
      <c r="H1418" s="38"/>
    </row>
    <row r="1419" spans="1:8" ht="12.75">
      <c r="A1419" s="36"/>
      <c r="B1419" s="38"/>
      <c r="C1419" s="54"/>
      <c r="D1419" s="54"/>
      <c r="E1419" s="55"/>
      <c r="F1419" s="54"/>
      <c r="G1419" s="38"/>
      <c r="H1419" s="38"/>
    </row>
    <row r="1420" spans="1:8" ht="12.75">
      <c r="A1420" s="36"/>
      <c r="B1420" s="38"/>
      <c r="C1420" s="54"/>
      <c r="D1420" s="54"/>
      <c r="E1420" s="55"/>
      <c r="F1420" s="54"/>
      <c r="G1420" s="38"/>
      <c r="H1420" s="38"/>
    </row>
    <row r="1421" spans="1:8" ht="12.75">
      <c r="A1421" s="36"/>
      <c r="B1421" s="38"/>
      <c r="C1421" s="54"/>
      <c r="D1421" s="54"/>
      <c r="E1421" s="55"/>
      <c r="F1421" s="54"/>
      <c r="G1421" s="38"/>
      <c r="H1421" s="38"/>
    </row>
    <row r="1422" spans="1:8" ht="12.75">
      <c r="A1422" s="36"/>
      <c r="B1422" s="38"/>
      <c r="C1422" s="54"/>
      <c r="D1422" s="54"/>
      <c r="E1422" s="55"/>
      <c r="F1422" s="54"/>
      <c r="G1422" s="38"/>
      <c r="H1422" s="38"/>
    </row>
    <row r="1423" spans="1:8" ht="12.75">
      <c r="A1423" s="36"/>
      <c r="B1423" s="38"/>
      <c r="C1423" s="54"/>
      <c r="D1423" s="54"/>
      <c r="E1423" s="55"/>
      <c r="F1423" s="54"/>
      <c r="G1423" s="38"/>
      <c r="H1423" s="38"/>
    </row>
    <row r="1424" spans="1:8" ht="12.75">
      <c r="A1424" s="36"/>
      <c r="B1424" s="38"/>
      <c r="C1424" s="54"/>
      <c r="D1424" s="54"/>
      <c r="E1424" s="55"/>
      <c r="F1424" s="54"/>
      <c r="G1424" s="38"/>
      <c r="H1424" s="38"/>
    </row>
    <row r="1425" spans="1:8" ht="12.75">
      <c r="A1425" s="36"/>
      <c r="B1425" s="38"/>
      <c r="C1425" s="54"/>
      <c r="D1425" s="54"/>
      <c r="E1425" s="55"/>
      <c r="F1425" s="54"/>
      <c r="G1425" s="38"/>
      <c r="H1425" s="38"/>
    </row>
    <row r="1426" spans="1:8" ht="12.75">
      <c r="A1426" s="36"/>
      <c r="B1426" s="38"/>
      <c r="C1426" s="54"/>
      <c r="D1426" s="54"/>
      <c r="E1426" s="55"/>
      <c r="F1426" s="54"/>
      <c r="G1426" s="38"/>
      <c r="H1426" s="38"/>
    </row>
    <row r="1427" spans="1:8" ht="12.75">
      <c r="A1427" s="36"/>
      <c r="B1427" s="38"/>
      <c r="C1427" s="54"/>
      <c r="D1427" s="54"/>
      <c r="E1427" s="55"/>
      <c r="F1427" s="54"/>
      <c r="G1427" s="38"/>
      <c r="H1427" s="38"/>
    </row>
    <row r="1428" spans="1:8" ht="12.75">
      <c r="A1428" s="36"/>
      <c r="B1428" s="38"/>
      <c r="C1428" s="54"/>
      <c r="D1428" s="54"/>
      <c r="E1428" s="55"/>
      <c r="F1428" s="54"/>
      <c r="G1428" s="38"/>
      <c r="H1428" s="38"/>
    </row>
    <row r="1429" spans="1:8" ht="12.75">
      <c r="A1429" s="36"/>
      <c r="B1429" s="38"/>
      <c r="C1429" s="54"/>
      <c r="D1429" s="54"/>
      <c r="E1429" s="55"/>
      <c r="F1429" s="54"/>
      <c r="G1429" s="38"/>
      <c r="H1429" s="38"/>
    </row>
    <row r="1430" spans="1:8" ht="12.75">
      <c r="A1430" s="36"/>
      <c r="B1430" s="38"/>
      <c r="C1430" s="54"/>
      <c r="D1430" s="54"/>
      <c r="E1430" s="55"/>
      <c r="F1430" s="54"/>
      <c r="G1430" s="38"/>
      <c r="H1430" s="38"/>
    </row>
    <row r="1431" spans="1:8" ht="12.75">
      <c r="A1431" s="36"/>
      <c r="B1431" s="38"/>
      <c r="C1431" s="54"/>
      <c r="D1431" s="54"/>
      <c r="E1431" s="55"/>
      <c r="F1431" s="54"/>
      <c r="G1431" s="38"/>
      <c r="H1431" s="38"/>
    </row>
    <row r="1432" spans="1:8" ht="12.75">
      <c r="A1432" s="36"/>
      <c r="B1432" s="38"/>
      <c r="C1432" s="54"/>
      <c r="D1432" s="54"/>
      <c r="E1432" s="55"/>
      <c r="F1432" s="54"/>
      <c r="G1432" s="38"/>
      <c r="H1432" s="38"/>
    </row>
    <row r="1433" spans="1:8" ht="12.75">
      <c r="A1433" s="36"/>
      <c r="B1433" s="38"/>
      <c r="C1433" s="54"/>
      <c r="D1433" s="54"/>
      <c r="E1433" s="55"/>
      <c r="F1433" s="54"/>
      <c r="G1433" s="38"/>
      <c r="H1433" s="38"/>
    </row>
    <row r="1434" spans="1:8" ht="12.75">
      <c r="A1434" s="36"/>
      <c r="B1434" s="38"/>
      <c r="C1434" s="54"/>
      <c r="D1434" s="54"/>
      <c r="E1434" s="55"/>
      <c r="F1434" s="54"/>
      <c r="G1434" s="38"/>
      <c r="H1434" s="38"/>
    </row>
    <row r="1435" spans="1:8" ht="12.75">
      <c r="A1435" s="36"/>
      <c r="B1435" s="38"/>
      <c r="C1435" s="54"/>
      <c r="D1435" s="54"/>
      <c r="E1435" s="55"/>
      <c r="F1435" s="54"/>
      <c r="G1435" s="38"/>
      <c r="H1435" s="38"/>
    </row>
    <row r="1436" spans="1:8" ht="12.75">
      <c r="A1436" s="36"/>
      <c r="B1436" s="38"/>
      <c r="C1436" s="54"/>
      <c r="D1436" s="54"/>
      <c r="E1436" s="55"/>
      <c r="F1436" s="54"/>
      <c r="G1436" s="38"/>
      <c r="H1436" s="38"/>
    </row>
    <row r="1437" spans="1:8" ht="12.75">
      <c r="A1437" s="36"/>
      <c r="B1437" s="38"/>
      <c r="C1437" s="54"/>
      <c r="D1437" s="54"/>
      <c r="E1437" s="55"/>
      <c r="F1437" s="54"/>
      <c r="G1437" s="38"/>
      <c r="H1437" s="38"/>
    </row>
    <row r="1438" spans="1:8" ht="12.75">
      <c r="A1438" s="36"/>
      <c r="B1438" s="38"/>
      <c r="C1438" s="54"/>
      <c r="D1438" s="54"/>
      <c r="E1438" s="55"/>
      <c r="F1438" s="54"/>
      <c r="G1438" s="38"/>
      <c r="H1438" s="38"/>
    </row>
    <row r="1439" spans="1:8" ht="12.75">
      <c r="A1439" s="36"/>
      <c r="B1439" s="38"/>
      <c r="C1439" s="54"/>
      <c r="D1439" s="54"/>
      <c r="E1439" s="55"/>
      <c r="F1439" s="54"/>
      <c r="G1439" s="38"/>
      <c r="H1439" s="38"/>
    </row>
    <row r="1440" spans="1:8" ht="12.75">
      <c r="A1440" s="36"/>
      <c r="B1440" s="38"/>
      <c r="C1440" s="54"/>
      <c r="D1440" s="54"/>
      <c r="E1440" s="55"/>
      <c r="F1440" s="54"/>
      <c r="G1440" s="38"/>
      <c r="H1440" s="38"/>
    </row>
    <row r="1441" spans="1:8" ht="12.75">
      <c r="A1441" s="36"/>
      <c r="B1441" s="38"/>
      <c r="C1441" s="54"/>
      <c r="D1441" s="54"/>
      <c r="E1441" s="55"/>
      <c r="F1441" s="54"/>
      <c r="G1441" s="38"/>
      <c r="H1441" s="38"/>
    </row>
    <row r="1442" spans="1:8" ht="12.75">
      <c r="A1442" s="36"/>
      <c r="B1442" s="38"/>
      <c r="C1442" s="54"/>
      <c r="D1442" s="54"/>
      <c r="E1442" s="55"/>
      <c r="F1442" s="54"/>
      <c r="G1442" s="38"/>
      <c r="H1442" s="38"/>
    </row>
    <row r="1443" spans="1:8" ht="12.75">
      <c r="A1443" s="36"/>
      <c r="B1443" s="38"/>
      <c r="C1443" s="54"/>
      <c r="D1443" s="54"/>
      <c r="E1443" s="55"/>
      <c r="F1443" s="54"/>
      <c r="G1443" s="38"/>
      <c r="H1443" s="38"/>
    </row>
    <row r="1444" spans="1:8" ht="12.75">
      <c r="A1444" s="36"/>
      <c r="B1444" s="38"/>
      <c r="C1444" s="54"/>
      <c r="D1444" s="54"/>
      <c r="E1444" s="55"/>
      <c r="F1444" s="54"/>
      <c r="G1444" s="38"/>
      <c r="H1444" s="38"/>
    </row>
    <row r="1445" spans="1:8" ht="12.75">
      <c r="A1445" s="36"/>
      <c r="B1445" s="38"/>
      <c r="C1445" s="54"/>
      <c r="D1445" s="54"/>
      <c r="E1445" s="55"/>
      <c r="F1445" s="54"/>
      <c r="G1445" s="38"/>
      <c r="H1445" s="38"/>
    </row>
    <row r="1446" spans="1:8" ht="12.75">
      <c r="A1446" s="36"/>
      <c r="B1446" s="38"/>
      <c r="C1446" s="54"/>
      <c r="D1446" s="54"/>
      <c r="E1446" s="55"/>
      <c r="F1446" s="54"/>
      <c r="G1446" s="38"/>
      <c r="H1446" s="38"/>
    </row>
    <row r="1447" spans="1:8" ht="12.75">
      <c r="A1447" s="36"/>
      <c r="B1447" s="38"/>
      <c r="C1447" s="54"/>
      <c r="D1447" s="54"/>
      <c r="E1447" s="55"/>
      <c r="F1447" s="54"/>
      <c r="G1447" s="38"/>
      <c r="H1447" s="38"/>
    </row>
    <row r="1448" spans="1:8" ht="12.75">
      <c r="A1448" s="36"/>
      <c r="B1448" s="38"/>
      <c r="C1448" s="54"/>
      <c r="D1448" s="54"/>
      <c r="E1448" s="55"/>
      <c r="F1448" s="54"/>
      <c r="G1448" s="38"/>
      <c r="H1448" s="38"/>
    </row>
    <row r="1449" spans="1:8" ht="12.75">
      <c r="A1449" s="36"/>
      <c r="B1449" s="38"/>
      <c r="C1449" s="54"/>
      <c r="D1449" s="54"/>
      <c r="E1449" s="55"/>
      <c r="F1449" s="54"/>
      <c r="G1449" s="38"/>
      <c r="H1449" s="38"/>
    </row>
    <row r="1450" spans="1:8" ht="12.75">
      <c r="A1450" s="36"/>
      <c r="B1450" s="38"/>
      <c r="C1450" s="54"/>
      <c r="D1450" s="54"/>
      <c r="E1450" s="55"/>
      <c r="F1450" s="54"/>
      <c r="G1450" s="38"/>
      <c r="H1450" s="38"/>
    </row>
    <row r="1451" spans="1:8" ht="12.75">
      <c r="A1451" s="36"/>
      <c r="B1451" s="38"/>
      <c r="C1451" s="54"/>
      <c r="D1451" s="54"/>
      <c r="E1451" s="55"/>
      <c r="F1451" s="54"/>
      <c r="G1451" s="38"/>
      <c r="H1451" s="38"/>
    </row>
    <row r="1452" spans="1:8" ht="12.75">
      <c r="A1452" s="36"/>
      <c r="B1452" s="38"/>
      <c r="C1452" s="54"/>
      <c r="D1452" s="54"/>
      <c r="E1452" s="55"/>
      <c r="F1452" s="54"/>
      <c r="G1452" s="38"/>
      <c r="H1452" s="38"/>
    </row>
    <row r="1453" spans="1:8" ht="12.75">
      <c r="A1453" s="36"/>
      <c r="B1453" s="38"/>
      <c r="C1453" s="54"/>
      <c r="D1453" s="54"/>
      <c r="E1453" s="55"/>
      <c r="F1453" s="54"/>
      <c r="G1453" s="38"/>
      <c r="H1453" s="38"/>
    </row>
    <row r="1454" spans="1:8" ht="12.75">
      <c r="A1454" s="36"/>
      <c r="B1454" s="38"/>
      <c r="C1454" s="54"/>
      <c r="D1454" s="54"/>
      <c r="E1454" s="55"/>
      <c r="F1454" s="54"/>
      <c r="G1454" s="38"/>
      <c r="H1454" s="38"/>
    </row>
    <row r="1455" spans="1:8" ht="12.75">
      <c r="A1455" s="36"/>
      <c r="B1455" s="38"/>
      <c r="C1455" s="54"/>
      <c r="D1455" s="54"/>
      <c r="E1455" s="55"/>
      <c r="F1455" s="54"/>
      <c r="G1455" s="38"/>
      <c r="H1455" s="38"/>
    </row>
    <row r="1456" spans="1:8" ht="12.75">
      <c r="A1456" s="36"/>
      <c r="B1456" s="38"/>
      <c r="C1456" s="54"/>
      <c r="D1456" s="54"/>
      <c r="E1456" s="55"/>
      <c r="F1456" s="54"/>
      <c r="G1456" s="38"/>
      <c r="H1456" s="38"/>
    </row>
    <row r="1457" spans="1:8" ht="12.75">
      <c r="A1457" s="36"/>
      <c r="B1457" s="38"/>
      <c r="C1457" s="54"/>
      <c r="D1457" s="54"/>
      <c r="E1457" s="55"/>
      <c r="F1457" s="54"/>
      <c r="G1457" s="38"/>
      <c r="H1457" s="38"/>
    </row>
    <row r="1458" spans="1:8" ht="12.75">
      <c r="A1458" s="36"/>
      <c r="B1458" s="38"/>
      <c r="C1458" s="54"/>
      <c r="D1458" s="54"/>
      <c r="E1458" s="55"/>
      <c r="F1458" s="54"/>
      <c r="G1458" s="38"/>
      <c r="H1458" s="38"/>
    </row>
    <row r="1459" spans="1:8" ht="12.75">
      <c r="A1459" s="36"/>
      <c r="B1459" s="38"/>
      <c r="C1459" s="54"/>
      <c r="D1459" s="54"/>
      <c r="E1459" s="55"/>
      <c r="F1459" s="54"/>
      <c r="G1459" s="38"/>
      <c r="H1459" s="38"/>
    </row>
    <row r="1460" spans="1:8" ht="12.75">
      <c r="A1460" s="36"/>
      <c r="B1460" s="38"/>
      <c r="C1460" s="54"/>
      <c r="D1460" s="54"/>
      <c r="E1460" s="55"/>
      <c r="F1460" s="54"/>
      <c r="G1460" s="38"/>
      <c r="H1460" s="38"/>
    </row>
    <row r="1461" spans="1:8" ht="12.75">
      <c r="A1461" s="36"/>
      <c r="B1461" s="38"/>
      <c r="C1461" s="54"/>
      <c r="D1461" s="54"/>
      <c r="E1461" s="55"/>
      <c r="F1461" s="54"/>
      <c r="G1461" s="38"/>
      <c r="H1461" s="38"/>
    </row>
    <row r="1462" spans="1:8" ht="12.75">
      <c r="A1462" s="36"/>
      <c r="B1462" s="38"/>
      <c r="C1462" s="54"/>
      <c r="D1462" s="54"/>
      <c r="E1462" s="55"/>
      <c r="F1462" s="54"/>
      <c r="G1462" s="38"/>
      <c r="H1462" s="38"/>
    </row>
    <row r="1463" spans="1:8" ht="12.75">
      <c r="A1463" s="36"/>
      <c r="B1463" s="38"/>
      <c r="C1463" s="54"/>
      <c r="D1463" s="54"/>
      <c r="E1463" s="55"/>
      <c r="F1463" s="54"/>
      <c r="G1463" s="38"/>
      <c r="H1463" s="38"/>
    </row>
    <row r="1464" spans="1:8" ht="12.75">
      <c r="A1464" s="36"/>
      <c r="B1464" s="38"/>
      <c r="C1464" s="54"/>
      <c r="D1464" s="54"/>
      <c r="E1464" s="55"/>
      <c r="F1464" s="54"/>
      <c r="G1464" s="38"/>
      <c r="H1464" s="38"/>
    </row>
    <row r="1465" spans="1:8" ht="12.75">
      <c r="A1465" s="36"/>
      <c r="B1465" s="38"/>
      <c r="C1465" s="54"/>
      <c r="D1465" s="54"/>
      <c r="E1465" s="55"/>
      <c r="F1465" s="54"/>
      <c r="G1465" s="38"/>
      <c r="H1465" s="38"/>
    </row>
    <row r="1466" spans="1:8" ht="12.75">
      <c r="A1466" s="36"/>
      <c r="B1466" s="38"/>
      <c r="C1466" s="54"/>
      <c r="D1466" s="54"/>
      <c r="E1466" s="55"/>
      <c r="F1466" s="54"/>
      <c r="G1466" s="38"/>
      <c r="H1466" s="38"/>
    </row>
    <row r="1467" spans="1:8" ht="12.75">
      <c r="A1467" s="36"/>
      <c r="B1467" s="38"/>
      <c r="C1467" s="54"/>
      <c r="D1467" s="54"/>
      <c r="E1467" s="55"/>
      <c r="F1467" s="54"/>
      <c r="G1467" s="38"/>
      <c r="H1467" s="38"/>
    </row>
    <row r="1468" spans="1:8" ht="12.75">
      <c r="A1468" s="36"/>
      <c r="B1468" s="38"/>
      <c r="C1468" s="54"/>
      <c r="D1468" s="54"/>
      <c r="E1468" s="55"/>
      <c r="F1468" s="54"/>
      <c r="G1468" s="38"/>
      <c r="H1468" s="38"/>
    </row>
    <row r="1469" spans="1:8" ht="12.75">
      <c r="A1469" s="36"/>
      <c r="B1469" s="38"/>
      <c r="C1469" s="54"/>
      <c r="D1469" s="54"/>
      <c r="E1469" s="55"/>
      <c r="F1469" s="54"/>
      <c r="G1469" s="38"/>
      <c r="H1469" s="38"/>
    </row>
    <row r="1470" spans="1:8" ht="12.75">
      <c r="A1470" s="36"/>
      <c r="B1470" s="38"/>
      <c r="C1470" s="54"/>
      <c r="D1470" s="54"/>
      <c r="E1470" s="55"/>
      <c r="F1470" s="54"/>
      <c r="G1470" s="38"/>
      <c r="H1470" s="38"/>
    </row>
    <row r="1471" spans="1:8" ht="12.75">
      <c r="A1471" s="36"/>
      <c r="B1471" s="38"/>
      <c r="C1471" s="54"/>
      <c r="D1471" s="54"/>
      <c r="E1471" s="55"/>
      <c r="F1471" s="54"/>
      <c r="G1471" s="38"/>
      <c r="H1471" s="38"/>
    </row>
    <row r="1472" spans="1:8" ht="12.75">
      <c r="A1472" s="36"/>
      <c r="B1472" s="38"/>
      <c r="C1472" s="54"/>
      <c r="D1472" s="54"/>
      <c r="E1472" s="55"/>
      <c r="F1472" s="54"/>
      <c r="G1472" s="38"/>
      <c r="H1472" s="38"/>
    </row>
    <row r="1473" spans="1:8" ht="12.75">
      <c r="A1473" s="36"/>
      <c r="B1473" s="38"/>
      <c r="C1473" s="54"/>
      <c r="D1473" s="54"/>
      <c r="E1473" s="55"/>
      <c r="F1473" s="54"/>
      <c r="G1473" s="38"/>
      <c r="H1473" s="38"/>
    </row>
    <row r="1474" spans="1:8" ht="12.75">
      <c r="A1474" s="36"/>
      <c r="B1474" s="38"/>
      <c r="C1474" s="54"/>
      <c r="D1474" s="54"/>
      <c r="E1474" s="55"/>
      <c r="F1474" s="54"/>
      <c r="G1474" s="38"/>
      <c r="H1474" s="38"/>
    </row>
    <row r="1475" spans="1:8" ht="12.75">
      <c r="A1475" s="36"/>
      <c r="B1475" s="38"/>
      <c r="C1475" s="54"/>
      <c r="D1475" s="54"/>
      <c r="E1475" s="55"/>
      <c r="F1475" s="54"/>
      <c r="G1475" s="38"/>
      <c r="H1475" s="38"/>
    </row>
    <row r="1476" spans="1:8" ht="12.75">
      <c r="A1476" s="36"/>
      <c r="B1476" s="38"/>
      <c r="C1476" s="54"/>
      <c r="D1476" s="54"/>
      <c r="E1476" s="55"/>
      <c r="F1476" s="54"/>
      <c r="G1476" s="38"/>
      <c r="H1476" s="38"/>
    </row>
    <row r="1477" spans="1:8" ht="12.75">
      <c r="A1477" s="36"/>
      <c r="B1477" s="38"/>
      <c r="C1477" s="54"/>
      <c r="D1477" s="54"/>
      <c r="E1477" s="55"/>
      <c r="F1477" s="54"/>
      <c r="G1477" s="38"/>
      <c r="H1477" s="38"/>
    </row>
    <row r="1478" spans="1:8" ht="12.75">
      <c r="A1478" s="36"/>
      <c r="B1478" s="38"/>
      <c r="C1478" s="54"/>
      <c r="D1478" s="54"/>
      <c r="E1478" s="55"/>
      <c r="F1478" s="54"/>
      <c r="G1478" s="38"/>
      <c r="H1478" s="38"/>
    </row>
    <row r="1479" spans="1:8" ht="12.75">
      <c r="A1479" s="36"/>
      <c r="B1479" s="38"/>
      <c r="C1479" s="54"/>
      <c r="D1479" s="54"/>
      <c r="E1479" s="55"/>
      <c r="F1479" s="54"/>
      <c r="G1479" s="38"/>
      <c r="H1479" s="38"/>
    </row>
    <row r="1480" spans="1:8" ht="12.75">
      <c r="A1480" s="36"/>
      <c r="B1480" s="38"/>
      <c r="C1480" s="54"/>
      <c r="D1480" s="54"/>
      <c r="E1480" s="55"/>
      <c r="F1480" s="54"/>
      <c r="G1480" s="38"/>
      <c r="H1480" s="38"/>
    </row>
    <row r="1481" spans="1:8" ht="12.75">
      <c r="A1481" s="36"/>
      <c r="B1481" s="38"/>
      <c r="C1481" s="54"/>
      <c r="D1481" s="54"/>
      <c r="E1481" s="55"/>
      <c r="F1481" s="54"/>
      <c r="G1481" s="38"/>
      <c r="H1481" s="38"/>
    </row>
    <row r="1482" spans="1:8" ht="12.75">
      <c r="A1482" s="36"/>
      <c r="B1482" s="38"/>
      <c r="C1482" s="54"/>
      <c r="D1482" s="54"/>
      <c r="E1482" s="55"/>
      <c r="F1482" s="54"/>
      <c r="G1482" s="38"/>
      <c r="H1482" s="38"/>
    </row>
    <row r="1483" spans="1:8" ht="12.75">
      <c r="A1483" s="36"/>
      <c r="B1483" s="38"/>
      <c r="C1483" s="54"/>
      <c r="D1483" s="54"/>
      <c r="E1483" s="55"/>
      <c r="F1483" s="54"/>
      <c r="G1483" s="38"/>
      <c r="H1483" s="38"/>
    </row>
    <row r="1484" spans="1:8" ht="12.75">
      <c r="A1484" s="36"/>
      <c r="B1484" s="38"/>
      <c r="C1484" s="54"/>
      <c r="D1484" s="54"/>
      <c r="E1484" s="55"/>
      <c r="F1484" s="54"/>
      <c r="G1484" s="38"/>
      <c r="H1484" s="38"/>
    </row>
    <row r="1485" spans="1:8" ht="12.75">
      <c r="A1485" s="36"/>
      <c r="B1485" s="38"/>
      <c r="C1485" s="54"/>
      <c r="D1485" s="54"/>
      <c r="E1485" s="55"/>
      <c r="F1485" s="54"/>
      <c r="G1485" s="38"/>
      <c r="H1485" s="38"/>
    </row>
    <row r="1486" spans="1:8" ht="12.75">
      <c r="A1486" s="36"/>
      <c r="B1486" s="38"/>
      <c r="C1486" s="54"/>
      <c r="D1486" s="54"/>
      <c r="E1486" s="55"/>
      <c r="F1486" s="54"/>
      <c r="G1486" s="38"/>
      <c r="H1486" s="38"/>
    </row>
    <row r="1487" spans="1:8" ht="12.75">
      <c r="A1487" s="36"/>
      <c r="B1487" s="38"/>
      <c r="C1487" s="54"/>
      <c r="D1487" s="54"/>
      <c r="E1487" s="55"/>
      <c r="F1487" s="54"/>
      <c r="G1487" s="38"/>
      <c r="H1487" s="38"/>
    </row>
    <row r="1488" spans="1:8" ht="12.75">
      <c r="A1488" s="36"/>
      <c r="B1488" s="38"/>
      <c r="C1488" s="54"/>
      <c r="D1488" s="54"/>
      <c r="E1488" s="55"/>
      <c r="F1488" s="54"/>
      <c r="G1488" s="38"/>
      <c r="H1488" s="38"/>
    </row>
    <row r="1489" spans="1:8" ht="12.75">
      <c r="A1489" s="36"/>
      <c r="B1489" s="38"/>
      <c r="C1489" s="54"/>
      <c r="D1489" s="54"/>
      <c r="E1489" s="55"/>
      <c r="F1489" s="54"/>
      <c r="G1489" s="38"/>
      <c r="H1489" s="38"/>
    </row>
    <row r="1490" spans="1:8" ht="12.75">
      <c r="A1490" s="36"/>
      <c r="B1490" s="38"/>
      <c r="C1490" s="54"/>
      <c r="D1490" s="54"/>
      <c r="E1490" s="55"/>
      <c r="F1490" s="54"/>
      <c r="G1490" s="38"/>
      <c r="H1490" s="38"/>
    </row>
    <row r="1491" spans="1:8" ht="12.75">
      <c r="A1491" s="36"/>
      <c r="B1491" s="38"/>
      <c r="C1491" s="54"/>
      <c r="D1491" s="54"/>
      <c r="E1491" s="55"/>
      <c r="F1491" s="54"/>
      <c r="G1491" s="38"/>
      <c r="H1491" s="38"/>
    </row>
    <row r="1492" spans="1:8" ht="12.75">
      <c r="A1492" s="36"/>
      <c r="B1492" s="38"/>
      <c r="C1492" s="54"/>
      <c r="D1492" s="54"/>
      <c r="E1492" s="55"/>
      <c r="F1492" s="54"/>
      <c r="G1492" s="38"/>
      <c r="H1492" s="38"/>
    </row>
    <row r="1493" spans="1:8" ht="12.75">
      <c r="A1493" s="36"/>
      <c r="B1493" s="38"/>
      <c r="C1493" s="54"/>
      <c r="D1493" s="54"/>
      <c r="E1493" s="55"/>
      <c r="F1493" s="54"/>
      <c r="G1493" s="38"/>
      <c r="H1493" s="38"/>
    </row>
    <row r="1494" spans="1:8" ht="12.75">
      <c r="A1494" s="36"/>
      <c r="B1494" s="38"/>
      <c r="C1494" s="54"/>
      <c r="D1494" s="54"/>
      <c r="E1494" s="55"/>
      <c r="F1494" s="54"/>
      <c r="G1494" s="38"/>
      <c r="H1494" s="38"/>
    </row>
    <row r="1495" spans="1:8" ht="12.75">
      <c r="A1495" s="36"/>
      <c r="B1495" s="38"/>
      <c r="C1495" s="54"/>
      <c r="D1495" s="54"/>
      <c r="E1495" s="55"/>
      <c r="F1495" s="54"/>
      <c r="G1495" s="38"/>
      <c r="H1495" s="38"/>
    </row>
    <row r="1496" spans="1:8" ht="12.75">
      <c r="A1496" s="36"/>
      <c r="B1496" s="38"/>
      <c r="C1496" s="54"/>
      <c r="D1496" s="54"/>
      <c r="E1496" s="55"/>
      <c r="F1496" s="54"/>
      <c r="G1496" s="38"/>
      <c r="H1496" s="38"/>
    </row>
    <row r="1497" spans="1:8" ht="12.75">
      <c r="A1497" s="36"/>
      <c r="B1497" s="38"/>
      <c r="C1497" s="54"/>
      <c r="D1497" s="54"/>
      <c r="E1497" s="55"/>
      <c r="F1497" s="54"/>
      <c r="G1497" s="38"/>
      <c r="H1497" s="38"/>
    </row>
    <row r="1498" spans="1:8" ht="12.75">
      <c r="A1498" s="36"/>
      <c r="B1498" s="38"/>
      <c r="C1498" s="54"/>
      <c r="D1498" s="54"/>
      <c r="E1498" s="55"/>
      <c r="F1498" s="54"/>
      <c r="G1498" s="38"/>
      <c r="H1498" s="38"/>
    </row>
    <row r="1499" spans="1:8" ht="12.75">
      <c r="A1499" s="36"/>
      <c r="B1499" s="38"/>
      <c r="C1499" s="54"/>
      <c r="D1499" s="54"/>
      <c r="E1499" s="55"/>
      <c r="F1499" s="54"/>
      <c r="G1499" s="38"/>
      <c r="H1499" s="38"/>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H33"/>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3" width="16.7109375" customWidth="1"/>
    <col min="4" max="4" width="12.42578125" customWidth="1"/>
    <col min="5" max="5" width="8" customWidth="1"/>
    <col min="6" max="6" width="32.42578125" customWidth="1"/>
    <col min="7" max="7" width="8.5703125" customWidth="1"/>
    <col min="8" max="8" width="23.42578125" customWidth="1"/>
  </cols>
  <sheetData>
    <row r="1" spans="1:8" ht="12" customHeight="1">
      <c r="A1" s="34"/>
      <c r="B1" s="34"/>
      <c r="C1" s="34"/>
      <c r="D1" s="34"/>
      <c r="E1" s="34"/>
      <c r="F1" s="126" t="s">
        <v>10</v>
      </c>
      <c r="G1" s="110"/>
      <c r="H1" s="110"/>
    </row>
    <row r="2" spans="1:8" ht="12" customHeight="1">
      <c r="A2" s="34"/>
      <c r="B2" s="34"/>
      <c r="C2" s="34"/>
      <c r="D2" s="34"/>
      <c r="E2" s="34"/>
      <c r="F2" s="114"/>
      <c r="G2" s="114"/>
      <c r="H2" s="114"/>
    </row>
    <row r="3" spans="1:8" ht="12" customHeight="1">
      <c r="A3" s="34"/>
      <c r="B3" s="34"/>
      <c r="C3" s="34"/>
      <c r="D3" s="34"/>
      <c r="E3" s="34"/>
      <c r="F3" s="127" t="s">
        <v>11</v>
      </c>
      <c r="G3" s="110"/>
      <c r="H3" s="110"/>
    </row>
    <row r="4" spans="1:8" ht="12" customHeight="1">
      <c r="A4" s="34"/>
      <c r="B4" s="34"/>
      <c r="C4" s="34"/>
      <c r="D4" s="34"/>
      <c r="E4" s="34"/>
      <c r="F4" s="110"/>
      <c r="G4" s="110"/>
      <c r="H4" s="110"/>
    </row>
    <row r="5" spans="1:8" ht="23.25">
      <c r="A5" s="34"/>
      <c r="B5" s="34"/>
      <c r="C5" s="34"/>
      <c r="D5" s="34"/>
      <c r="E5" s="34"/>
      <c r="F5" s="34"/>
      <c r="G5" s="34"/>
      <c r="H5" s="34"/>
    </row>
    <row r="6" spans="1:8" ht="23.25">
      <c r="A6" s="128" t="s">
        <v>94</v>
      </c>
      <c r="B6" s="110"/>
      <c r="C6" s="110"/>
      <c r="D6" s="110"/>
      <c r="E6" s="110"/>
      <c r="F6" s="110"/>
      <c r="G6" s="110"/>
      <c r="H6" s="110"/>
    </row>
    <row r="7" spans="1:8" ht="12.75">
      <c r="A7" s="36"/>
      <c r="E7" s="38"/>
      <c r="G7" s="38"/>
    </row>
    <row r="8" spans="1:8" ht="33" customHeight="1">
      <c r="A8" s="129" t="s">
        <v>95</v>
      </c>
      <c r="B8" s="122"/>
      <c r="C8" s="122"/>
      <c r="D8" s="122"/>
      <c r="E8" s="122"/>
      <c r="F8" s="122"/>
      <c r="G8" s="122"/>
      <c r="H8" s="118"/>
    </row>
    <row r="9" spans="1:8" ht="12.75">
      <c r="A9" s="36"/>
      <c r="E9" s="38"/>
      <c r="G9" s="38"/>
    </row>
    <row r="10" spans="1:8" ht="12.75">
      <c r="A10" s="39">
        <f ca="1">IFERROR(__xludf.DUMMYFUNCTION("IMPORTRANGE(""1qeeFCJCFKucGS14M4JpkDHd4OgBncP16-nnB1TgVYa4"",""AN!A10"")"),16)</f>
        <v>16</v>
      </c>
      <c r="B10" s="40" t="s">
        <v>96</v>
      </c>
      <c r="E10" s="38"/>
      <c r="F10" s="41"/>
      <c r="G10" s="43"/>
      <c r="H10" s="41" t="s">
        <v>79</v>
      </c>
    </row>
    <row r="11" spans="1:8" ht="12.75">
      <c r="A11" s="75"/>
      <c r="E11" s="38"/>
      <c r="F11" s="41"/>
      <c r="G11" s="43"/>
      <c r="H11" s="43"/>
    </row>
    <row r="12" spans="1:8">
      <c r="A12" s="44" t="s">
        <v>80</v>
      </c>
      <c r="B12" s="45" t="s">
        <v>81</v>
      </c>
      <c r="C12" s="44" t="s">
        <v>82</v>
      </c>
      <c r="D12" s="44" t="s">
        <v>83</v>
      </c>
      <c r="E12" s="64" t="s">
        <v>84</v>
      </c>
      <c r="F12" s="44" t="s">
        <v>85</v>
      </c>
      <c r="G12" s="44" t="s">
        <v>86</v>
      </c>
      <c r="H12" s="44" t="s">
        <v>87</v>
      </c>
    </row>
    <row r="13" spans="1:8" ht="12.75">
      <c r="A13" s="46">
        <f ca="1">IFERROR(__xludf.DUMMYFUNCTION("IMPORTRANGE(""1qeeFCJCFKucGS14M4JpkDHd4OgBncP16-nnB1TgVYa4"",""AN!A13:G1500"")"),1)</f>
        <v>1</v>
      </c>
      <c r="B13" s="76" t="str">
        <f ca="1">IFERROR(__xludf.DUMMYFUNCTION("""COMPUTED_VALUE"""),"512885")</f>
        <v>512885</v>
      </c>
      <c r="C13" s="48" t="str">
        <f ca="1">IFERROR(__xludf.DUMMYFUNCTION("""COMPUTED_VALUE"""),"BARCELO")</f>
        <v>BARCELO</v>
      </c>
      <c r="D13" s="48" t="str">
        <f ca="1">IFERROR(__xludf.DUMMYFUNCTION("""COMPUTED_VALUE"""),"Emmanuel")</f>
        <v>Emmanuel</v>
      </c>
      <c r="E13" s="77" t="str">
        <f ca="1">IFERROR(__xludf.DUMMYFUNCTION("""COMPUTED_VALUE"""),"06510018")</f>
        <v>06510018</v>
      </c>
      <c r="F13" s="48" t="str">
        <f ca="1">IFERROR(__xludf.DUMMYFUNCTION("""COMPUTED_VALUE"""),"REIMS ASPTT")</f>
        <v>REIMS ASPTT</v>
      </c>
      <c r="G13" s="50" t="str">
        <f ca="1">IFERROR(__xludf.DUMMYFUNCTION("""COMPUTED_VALUE"""),"CD51")</f>
        <v>CD51</v>
      </c>
      <c r="H13" s="50" t="str">
        <f ca="1">IFERROR(__xludf.DUMMYFUNCTION("IMPORTRANGE(""1qeeFCJCFKucGS14M4JpkDHd4OgBncP16-nnB1TgVYa4"",""AN!I13:I1500"")"),"actif")</f>
        <v>actif</v>
      </c>
    </row>
    <row r="14" spans="1:8" ht="12.75">
      <c r="A14" s="46">
        <f ca="1">IFERROR(__xludf.DUMMYFUNCTION("""COMPUTED_VALUE"""),2)</f>
        <v>2</v>
      </c>
      <c r="B14" s="76" t="str">
        <f ca="1">IFERROR(__xludf.DUMMYFUNCTION("""COMPUTED_VALUE"""),"6717680")</f>
        <v>6717680</v>
      </c>
      <c r="C14" s="48" t="str">
        <f ca="1">IFERROR(__xludf.DUMMYFUNCTION("""COMPUTED_VALUE"""),"BONI")</f>
        <v>BONI</v>
      </c>
      <c r="D14" s="48" t="str">
        <f ca="1">IFERROR(__xludf.DUMMYFUNCTION("""COMPUTED_VALUE"""),"Jacques")</f>
        <v>Jacques</v>
      </c>
      <c r="E14" s="77" t="str">
        <f ca="1">IFERROR(__xludf.DUMMYFUNCTION("""COMPUTED_VALUE"""),"06570111")</f>
        <v>06570111</v>
      </c>
      <c r="F14" s="48" t="str">
        <f ca="1">IFERROR(__xludf.DUMMYFUNCTION("""COMPUTED_VALUE"""),"SARREBOURG TT")</f>
        <v>SARREBOURG TT</v>
      </c>
      <c r="G14" s="50" t="str">
        <f ca="1">IFERROR(__xludf.DUMMYFUNCTION("""COMPUTED_VALUE"""),"CD57")</f>
        <v>CD57</v>
      </c>
      <c r="H14" s="50" t="str">
        <f ca="1">IFERROR(__xludf.DUMMYFUNCTION("""COMPUTED_VALUE"""),"actif")</f>
        <v>actif</v>
      </c>
    </row>
    <row r="15" spans="1:8" ht="12.75">
      <c r="A15" s="46">
        <f ca="1">IFERROR(__xludf.DUMMYFUNCTION("""COMPUTED_VALUE"""),3)</f>
        <v>3</v>
      </c>
      <c r="B15" s="76" t="str">
        <f ca="1">IFERROR(__xludf.DUMMYFUNCTION("""COMPUTED_VALUE"""),"089612")</f>
        <v>089612</v>
      </c>
      <c r="C15" s="48" t="str">
        <f ca="1">IFERROR(__xludf.DUMMYFUNCTION("""COMPUTED_VALUE"""),"BRACONNIER")</f>
        <v>BRACONNIER</v>
      </c>
      <c r="D15" s="48" t="str">
        <f ca="1">IFERROR(__xludf.DUMMYFUNCTION("""COMPUTED_VALUE"""),"Jean-Michel")</f>
        <v>Jean-Michel</v>
      </c>
      <c r="E15" s="77" t="str">
        <f ca="1">IFERROR(__xludf.DUMMYFUNCTION("""COMPUTED_VALUE"""),"06080082")</f>
        <v>06080082</v>
      </c>
      <c r="F15" s="78" t="str">
        <f ca="1">IFERROR(__xludf.DUMMYFUNCTION("""COMPUTED_VALUE"""),"GLAIRE ASTT")</f>
        <v>GLAIRE ASTT</v>
      </c>
      <c r="G15" s="50" t="str">
        <f ca="1">IFERROR(__xludf.DUMMYFUNCTION("""COMPUTED_VALUE"""),"CD08")</f>
        <v>CD08</v>
      </c>
      <c r="H15" s="50" t="str">
        <f ca="1">IFERROR(__xludf.DUMMYFUNCTION("""COMPUTED_VALUE"""),"actif")</f>
        <v>actif</v>
      </c>
    </row>
    <row r="16" spans="1:8" ht="12.75">
      <c r="A16" s="46">
        <f ca="1">IFERROR(__xludf.DUMMYFUNCTION("""COMPUTED_VALUE"""),4)</f>
        <v>4</v>
      </c>
      <c r="B16" s="76" t="str">
        <f ca="1">IFERROR(__xludf.DUMMYFUNCTION("""COMPUTED_VALUE"""),"102618")</f>
        <v>102618</v>
      </c>
      <c r="C16" s="48" t="str">
        <f ca="1">IFERROR(__xludf.DUMMYFUNCTION("""COMPUTED_VALUE"""),"BRUN")</f>
        <v>BRUN</v>
      </c>
      <c r="D16" s="48" t="str">
        <f ca="1">IFERROR(__xludf.DUMMYFUNCTION("""COMPUTED_VALUE"""),"Franck")</f>
        <v>Franck</v>
      </c>
      <c r="E16" s="77" t="str">
        <f ca="1">IFERROR(__xludf.DUMMYFUNCTION("""COMPUTED_VALUE"""),"06100048")</f>
        <v>06100048</v>
      </c>
      <c r="F16" s="48" t="str">
        <f ca="1">IFERROR(__xludf.DUMMYFUNCTION("""COMPUTED_VALUE"""),"BAR SUR AUBE Tennis de Table")</f>
        <v>BAR SUR AUBE Tennis de Table</v>
      </c>
      <c r="G16" s="50" t="str">
        <f ca="1">IFERROR(__xludf.DUMMYFUNCTION("""COMPUTED_VALUE"""),"CD10")</f>
        <v>CD10</v>
      </c>
      <c r="H16" s="50" t="str">
        <f ca="1">IFERROR(__xludf.DUMMYFUNCTION("""COMPUTED_VALUE"""),"actif")</f>
        <v>actif</v>
      </c>
    </row>
    <row r="17" spans="1:8" ht="12.75">
      <c r="A17" s="46">
        <f ca="1">IFERROR(__xludf.DUMMYFUNCTION("""COMPUTED_VALUE"""),5)</f>
        <v>5</v>
      </c>
      <c r="B17" s="76" t="str">
        <f ca="1">IFERROR(__xludf.DUMMYFUNCTION("""COMPUTED_VALUE"""),"106456")</f>
        <v>106456</v>
      </c>
      <c r="C17" s="48" t="str">
        <f ca="1">IFERROR(__xludf.DUMMYFUNCTION("""COMPUTED_VALUE"""),"COUSIN")</f>
        <v>COUSIN</v>
      </c>
      <c r="D17" s="48" t="str">
        <f ca="1">IFERROR(__xludf.DUMMYFUNCTION("""COMPUTED_VALUE"""),"Pierre-Alexandre")</f>
        <v>Pierre-Alexandre</v>
      </c>
      <c r="E17" s="77" t="str">
        <f ca="1">IFERROR(__xludf.DUMMYFUNCTION("""COMPUTED_VALUE"""),"06100002")</f>
        <v>06100002</v>
      </c>
      <c r="F17" s="48" t="str">
        <f ca="1">IFERROR(__xludf.DUMMYFUNCTION("""COMPUTED_VALUE"""),"TROYES O.S - NOËS TT")</f>
        <v>TROYES O.S - NOËS TT</v>
      </c>
      <c r="G17" s="50" t="str">
        <f ca="1">IFERROR(__xludf.DUMMYFUNCTION("""COMPUTED_VALUE"""),"CD10")</f>
        <v>CD10</v>
      </c>
      <c r="H17" s="50" t="str">
        <f ca="1">IFERROR(__xludf.DUMMYFUNCTION("""COMPUTED_VALUE"""),"actif")</f>
        <v>actif</v>
      </c>
    </row>
    <row r="18" spans="1:8" ht="12.75">
      <c r="A18" s="46">
        <f ca="1">IFERROR(__xludf.DUMMYFUNCTION("""COMPUTED_VALUE"""),6)</f>
        <v>6</v>
      </c>
      <c r="B18" s="76" t="str">
        <f ca="1">IFERROR(__xludf.DUMMYFUNCTION("""COMPUTED_VALUE"""),"6717437")</f>
        <v>6717437</v>
      </c>
      <c r="C18" s="48" t="str">
        <f ca="1">IFERROR(__xludf.DUMMYFUNCTION("""COMPUTED_VALUE"""),"DEMEER")</f>
        <v>DEMEER</v>
      </c>
      <c r="D18" s="48" t="str">
        <f ca="1">IFERROR(__xludf.DUMMYFUNCTION("""COMPUTED_VALUE"""),"Maryse")</f>
        <v>Maryse</v>
      </c>
      <c r="E18" s="77" t="str">
        <f ca="1">IFERROR(__xludf.DUMMYFUNCTION("""COMPUTED_VALUE"""),"06670122")</f>
        <v>06670122</v>
      </c>
      <c r="F18" s="48" t="str">
        <f ca="1">IFERROR(__xludf.DUMMYFUNCTION("""COMPUTED_VALUE"""),"OBERNAI CA")</f>
        <v>OBERNAI CA</v>
      </c>
      <c r="G18" s="50" t="str">
        <f ca="1">IFERROR(__xludf.DUMMYFUNCTION("""COMPUTED_VALUE"""),"CD67")</f>
        <v>CD67</v>
      </c>
      <c r="H18" s="50" t="str">
        <f ca="1">IFERROR(__xludf.DUMMYFUNCTION("""COMPUTED_VALUE"""),"actif")</f>
        <v>actif</v>
      </c>
    </row>
    <row r="19" spans="1:8" ht="12.75">
      <c r="A19" s="46">
        <f ca="1">IFERROR(__xludf.DUMMYFUNCTION("""COMPUTED_VALUE"""),7)</f>
        <v>7</v>
      </c>
      <c r="B19" s="76" t="str">
        <f ca="1">IFERROR(__xludf.DUMMYFUNCTION("""COMPUTED_VALUE"""),"084535")</f>
        <v>084535</v>
      </c>
      <c r="C19" s="48" t="str">
        <f ca="1">IFERROR(__xludf.DUMMYFUNCTION("""COMPUTED_VALUE"""),"DUSSART")</f>
        <v>DUSSART</v>
      </c>
      <c r="D19" s="48" t="str">
        <f ca="1">IFERROR(__xludf.DUMMYFUNCTION("""COMPUTED_VALUE"""),"Aurore")</f>
        <v>Aurore</v>
      </c>
      <c r="E19" s="77" t="str">
        <f ca="1">IFERROR(__xludf.DUMMYFUNCTION("""COMPUTED_VALUE"""),"06540040")</f>
        <v>06540040</v>
      </c>
      <c r="F19" s="48" t="str">
        <f ca="1">IFERROR(__xludf.DUMMYFUNCTION("""COMPUTED_VALUE"""),"VILLERS LES NANCY C.O.S.")</f>
        <v>VILLERS LES NANCY C.O.S.</v>
      </c>
      <c r="G19" s="50" t="str">
        <f ca="1">IFERROR(__xludf.DUMMYFUNCTION("""COMPUTED_VALUE"""),"CD54")</f>
        <v>CD54</v>
      </c>
      <c r="H19" s="50" t="str">
        <f ca="1">IFERROR(__xludf.DUMMYFUNCTION("""COMPUTED_VALUE"""),"actif")</f>
        <v>actif</v>
      </c>
    </row>
    <row r="20" spans="1:8" ht="12.75">
      <c r="A20" s="46">
        <f ca="1">IFERROR(__xludf.DUMMYFUNCTION("""COMPUTED_VALUE"""),8)</f>
        <v>8</v>
      </c>
      <c r="B20" s="76" t="str">
        <f ca="1">IFERROR(__xludf.DUMMYFUNCTION("""COMPUTED_VALUE"""),"671825")</f>
        <v>671825</v>
      </c>
      <c r="C20" s="48" t="str">
        <f ca="1">IFERROR(__xludf.DUMMYFUNCTION("""COMPUTED_VALUE"""),"FRIANT")</f>
        <v>FRIANT</v>
      </c>
      <c r="D20" s="48" t="str">
        <f ca="1">IFERROR(__xludf.DUMMYFUNCTION("""COMPUTED_VALUE"""),"Marc")</f>
        <v>Marc</v>
      </c>
      <c r="E20" s="49" t="str">
        <f ca="1">IFERROR(__xludf.DUMMYFUNCTION("""COMPUTED_VALUE"""),"06670246")</f>
        <v>06670246</v>
      </c>
      <c r="F20" s="48" t="str">
        <f ca="1">IFERROR(__xludf.DUMMYFUNCTION("""COMPUTED_VALUE"""),"GRIESHEIM DINGSHEIM TT")</f>
        <v>GRIESHEIM DINGSHEIM TT</v>
      </c>
      <c r="G20" s="50" t="str">
        <f ca="1">IFERROR(__xludf.DUMMYFUNCTION("""COMPUTED_VALUE"""),"CD67")</f>
        <v>CD67</v>
      </c>
      <c r="H20" s="50" t="str">
        <f ca="1">IFERROR(__xludf.DUMMYFUNCTION("""COMPUTED_VALUE"""),"actif")</f>
        <v>actif</v>
      </c>
    </row>
    <row r="21" spans="1:8" ht="12.75">
      <c r="A21" s="46">
        <f ca="1">IFERROR(__xludf.DUMMYFUNCTION("""COMPUTED_VALUE"""),9)</f>
        <v>9</v>
      </c>
      <c r="B21" s="76" t="str">
        <f ca="1">IFERROR(__xludf.DUMMYFUNCTION("""COMPUTED_VALUE"""),"5721606")</f>
        <v>5721606</v>
      </c>
      <c r="C21" s="48" t="str">
        <f ca="1">IFERROR(__xludf.DUMMYFUNCTION("""COMPUTED_VALUE"""),"HEYMANN")</f>
        <v>HEYMANN</v>
      </c>
      <c r="D21" s="48" t="str">
        <f ca="1">IFERROR(__xludf.DUMMYFUNCTION("""COMPUTED_VALUE"""),"Christophe")</f>
        <v>Christophe</v>
      </c>
      <c r="E21" s="77" t="str">
        <f ca="1">IFERROR(__xludf.DUMMYFUNCTION("""COMPUTED_VALUE"""),"06570132")</f>
        <v>06570132</v>
      </c>
      <c r="F21" s="48" t="str">
        <f ca="1">IFERROR(__xludf.DUMMYFUNCTION("""COMPUTED_VALUE"""),"PAYS DE BITCHE TT")</f>
        <v>PAYS DE BITCHE TT</v>
      </c>
      <c r="G21" s="50" t="str">
        <f ca="1">IFERROR(__xludf.DUMMYFUNCTION("""COMPUTED_VALUE"""),"CD57")</f>
        <v>CD57</v>
      </c>
      <c r="H21" s="50" t="str">
        <f ca="1">IFERROR(__xludf.DUMMYFUNCTION("""COMPUTED_VALUE"""),"actif")</f>
        <v>actif</v>
      </c>
    </row>
    <row r="22" spans="1:8" ht="12.75">
      <c r="A22" s="46">
        <f ca="1">IFERROR(__xludf.DUMMYFUNCTION("""COMPUTED_VALUE"""),10)</f>
        <v>10</v>
      </c>
      <c r="B22" s="76" t="str">
        <f ca="1">IFERROR(__xludf.DUMMYFUNCTION("""COMPUTED_VALUE"""),"688426")</f>
        <v>688426</v>
      </c>
      <c r="C22" s="48" t="str">
        <f ca="1">IFERROR(__xludf.DUMMYFUNCTION("""COMPUTED_VALUE"""),"HOLLANDER")</f>
        <v>HOLLANDER</v>
      </c>
      <c r="D22" s="48" t="str">
        <f ca="1">IFERROR(__xludf.DUMMYFUNCTION("""COMPUTED_VALUE"""),"Astrid")</f>
        <v>Astrid</v>
      </c>
      <c r="E22" s="77" t="str">
        <f ca="1">IFERROR(__xludf.DUMMYFUNCTION("""COMPUTED_VALUE"""),"06680004")</f>
        <v>06680004</v>
      </c>
      <c r="F22" s="48" t="str">
        <f ca="1">IFERROR(__xludf.DUMMYFUNCTION("""COMPUTED_VALUE"""),"COLMAR MJC")</f>
        <v>COLMAR MJC</v>
      </c>
      <c r="G22" s="50" t="str">
        <f ca="1">IFERROR(__xludf.DUMMYFUNCTION("""COMPUTED_VALUE"""),"CD68")</f>
        <v>CD68</v>
      </c>
      <c r="H22" s="50" t="str">
        <f ca="1">IFERROR(__xludf.DUMMYFUNCTION("""COMPUTED_VALUE"""),"actif")</f>
        <v>actif</v>
      </c>
    </row>
    <row r="23" spans="1:8" ht="12.75">
      <c r="A23" s="46">
        <f ca="1">IFERROR(__xludf.DUMMYFUNCTION("""COMPUTED_VALUE"""),11)</f>
        <v>11</v>
      </c>
      <c r="B23" s="76" t="str">
        <f ca="1">IFERROR(__xludf.DUMMYFUNCTION("""COMPUTED_VALUE"""),"517527")</f>
        <v>517527</v>
      </c>
      <c r="C23" s="48" t="str">
        <f ca="1">IFERROR(__xludf.DUMMYFUNCTION("""COMPUTED_VALUE"""),"LEGRY")</f>
        <v>LEGRY</v>
      </c>
      <c r="D23" s="48" t="str">
        <f ca="1">IFERROR(__xludf.DUMMYFUNCTION("""COMPUTED_VALUE"""),"Jean Emmanuel")</f>
        <v>Jean Emmanuel</v>
      </c>
      <c r="E23" s="77" t="str">
        <f ca="1">IFERROR(__xludf.DUMMYFUNCTION("""COMPUTED_VALUE"""),"06510112")</f>
        <v>06510112</v>
      </c>
      <c r="F23" s="48" t="str">
        <f ca="1">IFERROR(__xludf.DUMMYFUNCTION("""COMPUTED_VALUE"""),"CHALONS-EN-CHAMPAGNE TT")</f>
        <v>CHALONS-EN-CHAMPAGNE TT</v>
      </c>
      <c r="G23" s="50" t="str">
        <f ca="1">IFERROR(__xludf.DUMMYFUNCTION("""COMPUTED_VALUE"""),"CD51")</f>
        <v>CD51</v>
      </c>
      <c r="H23" s="50" t="str">
        <f ca="1">IFERROR(__xludf.DUMMYFUNCTION("""COMPUTED_VALUE"""),"actif")</f>
        <v>actif</v>
      </c>
    </row>
    <row r="24" spans="1:8" ht="12.75">
      <c r="A24" s="46">
        <f ca="1">IFERROR(__xludf.DUMMYFUNCTION("""COMPUTED_VALUE"""),12)</f>
        <v>12</v>
      </c>
      <c r="B24" s="76" t="str">
        <f ca="1">IFERROR(__xludf.DUMMYFUNCTION("""COMPUTED_VALUE"""),"089656")</f>
        <v>089656</v>
      </c>
      <c r="C24" s="48" t="str">
        <f ca="1">IFERROR(__xludf.DUMMYFUNCTION("""COMPUTED_VALUE"""),"PINAS")</f>
        <v>PINAS</v>
      </c>
      <c r="D24" s="48" t="str">
        <f ca="1">IFERROR(__xludf.DUMMYFUNCTION("""COMPUTED_VALUE"""),"Nicolas")</f>
        <v>Nicolas</v>
      </c>
      <c r="E24" s="49" t="str">
        <f ca="1">IFERROR(__xludf.DUMMYFUNCTION("""COMPUTED_VALUE"""),"06080082")</f>
        <v>06080082</v>
      </c>
      <c r="F24" s="48" t="str">
        <f ca="1">IFERROR(__xludf.DUMMYFUNCTION("""COMPUTED_VALUE"""),"GLAIRE ASTT")</f>
        <v>GLAIRE ASTT</v>
      </c>
      <c r="G24" s="50" t="str">
        <f ca="1">IFERROR(__xludf.DUMMYFUNCTION("""COMPUTED_VALUE"""),"CD08")</f>
        <v>CD08</v>
      </c>
      <c r="H24" s="50" t="str">
        <f ca="1">IFERROR(__xludf.DUMMYFUNCTION("""COMPUTED_VALUE"""),"actif")</f>
        <v>actif</v>
      </c>
    </row>
    <row r="25" spans="1:8" ht="12.75">
      <c r="A25" s="46">
        <f ca="1">IFERROR(__xludf.DUMMYFUNCTION("""COMPUTED_VALUE"""),13)</f>
        <v>13</v>
      </c>
      <c r="B25" s="76" t="str">
        <f ca="1">IFERROR(__xludf.DUMMYFUNCTION("""COMPUTED_VALUE"""),"5424287")</f>
        <v>5424287</v>
      </c>
      <c r="C25" s="48" t="str">
        <f ca="1">IFERROR(__xludf.DUMMYFUNCTION("""COMPUTED_VALUE"""),"PINTO")</f>
        <v>PINTO</v>
      </c>
      <c r="D25" s="48" t="str">
        <f ca="1">IFERROR(__xludf.DUMMYFUNCTION("""COMPUTED_VALUE"""),"Antonio")</f>
        <v>Antonio</v>
      </c>
      <c r="E25" s="77" t="str">
        <f ca="1">IFERROR(__xludf.DUMMYFUNCTION("""COMPUTED_VALUE"""),"06550058")</f>
        <v>06550058</v>
      </c>
      <c r="F25" s="48" t="str">
        <f ca="1">IFERROR(__xludf.DUMMYFUNCTION("""COMPUTED_VALUE"""),"Les Loups de DAMVILLERS ASTT ")</f>
        <v xml:space="preserve">Les Loups de DAMVILLERS ASTT </v>
      </c>
      <c r="G25" s="50" t="str">
        <f ca="1">IFERROR(__xludf.DUMMYFUNCTION("""COMPUTED_VALUE"""),"CD55")</f>
        <v>CD55</v>
      </c>
      <c r="H25" s="50" t="str">
        <f ca="1">IFERROR(__xludf.DUMMYFUNCTION("""COMPUTED_VALUE"""),"actif")</f>
        <v>actif</v>
      </c>
    </row>
    <row r="26" spans="1:8" ht="12.75">
      <c r="A26" s="46">
        <f ca="1">IFERROR(__xludf.DUMMYFUNCTION("""COMPUTED_VALUE"""),14)</f>
        <v>14</v>
      </c>
      <c r="B26" s="76" t="str">
        <f ca="1">IFERROR(__xludf.DUMMYFUNCTION("""COMPUTED_VALUE"""),"572523")</f>
        <v>572523</v>
      </c>
      <c r="C26" s="48" t="str">
        <f ca="1">IFERROR(__xludf.DUMMYFUNCTION("""COMPUTED_VALUE"""),"SCHOUVER")</f>
        <v>SCHOUVER</v>
      </c>
      <c r="D26" s="48" t="str">
        <f ca="1">IFERROR(__xludf.DUMMYFUNCTION("""COMPUTED_VALUE"""),"Franck")</f>
        <v>Franck</v>
      </c>
      <c r="E26" s="49" t="str">
        <f ca="1">IFERROR(__xludf.DUMMYFUNCTION("""COMPUTED_VALUE"""),"06570029")</f>
        <v>06570029</v>
      </c>
      <c r="F26" s="48" t="str">
        <f ca="1">IFERROR(__xludf.DUMMYFUNCTION("""COMPUTED_VALUE"""),"WILLERWALD A.S.")</f>
        <v>WILLERWALD A.S.</v>
      </c>
      <c r="G26" s="50" t="str">
        <f ca="1">IFERROR(__xludf.DUMMYFUNCTION("""COMPUTED_VALUE"""),"CD57")</f>
        <v>CD57</v>
      </c>
      <c r="H26" s="50" t="str">
        <f ca="1">IFERROR(__xludf.DUMMYFUNCTION("""COMPUTED_VALUE"""),"actif")</f>
        <v>actif</v>
      </c>
    </row>
    <row r="27" spans="1:8" ht="12.75">
      <c r="A27" s="46">
        <f ca="1">IFERROR(__xludf.DUMMYFUNCTION("""COMPUTED_VALUE"""),15)</f>
        <v>15</v>
      </c>
      <c r="B27" s="76" t="str">
        <f ca="1">IFERROR(__xludf.DUMMYFUNCTION("""COMPUTED_VALUE"""),"518961")</f>
        <v>518961</v>
      </c>
      <c r="C27" s="48" t="str">
        <f ca="1">IFERROR(__xludf.DUMMYFUNCTION("""COMPUTED_VALUE"""),"VAUCOULEUR")</f>
        <v>VAUCOULEUR</v>
      </c>
      <c r="D27" s="48" t="str">
        <f ca="1">IFERROR(__xludf.DUMMYFUNCTION("""COMPUTED_VALUE"""),"Dominique")</f>
        <v>Dominique</v>
      </c>
      <c r="E27" s="77" t="str">
        <f ca="1">IFERROR(__xludf.DUMMYFUNCTION("""COMPUTED_VALUE"""),"06510001")</f>
        <v>06510001</v>
      </c>
      <c r="F27" s="48" t="str">
        <f ca="1">IFERROR(__xludf.DUMMYFUNCTION("""COMPUTED_VALUE"""),"REIMS OLYMPIQUE TT")</f>
        <v>REIMS OLYMPIQUE TT</v>
      </c>
      <c r="G27" s="50" t="str">
        <f ca="1">IFERROR(__xludf.DUMMYFUNCTION("""COMPUTED_VALUE"""),"CD51")</f>
        <v>CD51</v>
      </c>
      <c r="H27" s="50" t="str">
        <f ca="1">IFERROR(__xludf.DUMMYFUNCTION("""COMPUTED_VALUE"""),"actif")</f>
        <v>actif</v>
      </c>
    </row>
    <row r="28" spans="1:8" ht="12.75">
      <c r="A28" s="46">
        <f ca="1">IFERROR(__xludf.DUMMYFUNCTION("""COMPUTED_VALUE"""),16)</f>
        <v>16</v>
      </c>
      <c r="B28" s="76" t="str">
        <f ca="1">IFERROR(__xludf.DUMMYFUNCTION("""COMPUTED_VALUE"""),"8860")</f>
        <v>8860</v>
      </c>
      <c r="C28" s="48" t="str">
        <f ca="1">IFERROR(__xludf.DUMMYFUNCTION("""COMPUTED_VALUE"""),"VOYEN")</f>
        <v>VOYEN</v>
      </c>
      <c r="D28" s="48" t="str">
        <f ca="1">IFERROR(__xludf.DUMMYFUNCTION("""COMPUTED_VALUE"""),"Jean Pierre")</f>
        <v>Jean Pierre</v>
      </c>
      <c r="E28" s="77" t="str">
        <f ca="1">IFERROR(__xludf.DUMMYFUNCTION("""COMPUTED_VALUE"""),"06880002")</f>
        <v>06880002</v>
      </c>
      <c r="F28" s="48" t="str">
        <f ca="1">IFERROR(__xludf.DUMMYFUNCTION("""COMPUTED_VALUE"""),"ANOULD Cercle Pongiste")</f>
        <v>ANOULD Cercle Pongiste</v>
      </c>
      <c r="G28" s="50" t="str">
        <f ca="1">IFERROR(__xludf.DUMMYFUNCTION("""COMPUTED_VALUE"""),"CD88")</f>
        <v>CD88</v>
      </c>
      <c r="H28" s="50" t="str">
        <f ca="1">IFERROR(__xludf.DUMMYFUNCTION("""COMPUTED_VALUE"""),"actif")</f>
        <v>actif</v>
      </c>
    </row>
    <row r="29" spans="1:8" ht="12.75">
      <c r="A29" s="46" t="str">
        <f ca="1">IFERROR(__xludf.DUMMYFUNCTION("""COMPUTED_VALUE"""),"")</f>
        <v/>
      </c>
      <c r="B29" s="48"/>
      <c r="C29" s="48"/>
      <c r="D29" s="48"/>
      <c r="E29" s="77"/>
      <c r="F29" s="48"/>
      <c r="G29" s="50"/>
      <c r="H29" s="50"/>
    </row>
    <row r="30" spans="1:8" ht="12.75">
      <c r="A30" s="46"/>
      <c r="B30" s="48"/>
      <c r="C30" s="48"/>
      <c r="D30" s="48"/>
      <c r="E30" s="77"/>
      <c r="F30" s="48"/>
      <c r="G30" s="50"/>
      <c r="H30" s="50"/>
    </row>
    <row r="31" spans="1:8" ht="12.75">
      <c r="A31" s="46"/>
      <c r="B31" s="48"/>
      <c r="C31" s="48"/>
      <c r="D31" s="48"/>
      <c r="E31" s="77"/>
      <c r="F31" s="48"/>
      <c r="G31" s="50"/>
      <c r="H31" s="50"/>
    </row>
    <row r="32" spans="1:8" ht="12.75">
      <c r="A32" s="46"/>
      <c r="B32" s="48"/>
      <c r="C32" s="48"/>
      <c r="D32" s="48"/>
      <c r="E32" s="77"/>
      <c r="F32" s="48"/>
      <c r="G32" s="50"/>
      <c r="H32" s="50"/>
    </row>
    <row r="33" spans="1:8" ht="12.75">
      <c r="A33" s="46"/>
      <c r="B33" s="48"/>
      <c r="C33" s="48"/>
      <c r="D33" s="48"/>
      <c r="E33" s="77"/>
      <c r="F33" s="48"/>
      <c r="G33" s="50"/>
      <c r="H33" s="50"/>
    </row>
  </sheetData>
  <mergeCells count="4">
    <mergeCell ref="F1:H2"/>
    <mergeCell ref="F3:H4"/>
    <mergeCell ref="A6:H6"/>
    <mergeCell ref="A8:H8"/>
  </mergeCells>
  <conditionalFormatting sqref="H1:H11 H13:H33">
    <cfRule type="cellIs" dxfId="1" priority="1" operator="equal">
      <formula>"inactif"</formula>
    </cfRule>
  </conditionalFormatting>
  <pageMargins left="0.7" right="0.7" top="0.75" bottom="0.75" header="0.3" footer="0.3"/>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H29"/>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2" width="16.28515625" customWidth="1"/>
    <col min="3" max="3" width="21" customWidth="1"/>
    <col min="4" max="4" width="12.42578125" customWidth="1"/>
    <col min="5" max="5" width="8" customWidth="1"/>
    <col min="6" max="6" width="32.42578125" customWidth="1"/>
    <col min="7" max="7" width="8.28515625" customWidth="1"/>
    <col min="8" max="8" width="23.42578125" customWidth="1"/>
  </cols>
  <sheetData>
    <row r="1" spans="1:8" ht="12" customHeight="1">
      <c r="A1" s="34"/>
      <c r="B1" s="34"/>
      <c r="C1" s="34"/>
      <c r="D1" s="34"/>
      <c r="E1" s="34"/>
      <c r="F1" s="126" t="s">
        <v>10</v>
      </c>
      <c r="G1" s="110"/>
      <c r="H1" s="110"/>
    </row>
    <row r="2" spans="1:8" ht="12" customHeight="1">
      <c r="A2" s="34"/>
      <c r="B2" s="34"/>
      <c r="C2" s="34"/>
      <c r="D2" s="34"/>
      <c r="E2" s="34"/>
      <c r="F2" s="114"/>
      <c r="G2" s="114"/>
      <c r="H2" s="114"/>
    </row>
    <row r="3" spans="1:8" ht="12" customHeight="1">
      <c r="A3" s="34"/>
      <c r="B3" s="34"/>
      <c r="C3" s="34"/>
      <c r="D3" s="34"/>
      <c r="E3" s="34"/>
      <c r="F3" s="127" t="s">
        <v>11</v>
      </c>
      <c r="G3" s="110"/>
      <c r="H3" s="110"/>
    </row>
    <row r="4" spans="1:8" ht="12" customHeight="1">
      <c r="A4" s="34"/>
      <c r="B4" s="34"/>
      <c r="C4" s="34"/>
      <c r="D4" s="34"/>
      <c r="E4" s="34"/>
      <c r="F4" s="110"/>
      <c r="G4" s="110"/>
      <c r="H4" s="110"/>
    </row>
    <row r="5" spans="1:8" ht="23.25">
      <c r="A5" s="34"/>
      <c r="B5" s="34"/>
      <c r="C5" s="34"/>
      <c r="D5" s="34"/>
      <c r="E5" s="34"/>
      <c r="F5" s="34"/>
      <c r="G5" s="34"/>
      <c r="H5" s="34"/>
    </row>
    <row r="6" spans="1:8" ht="23.25">
      <c r="A6" s="128" t="s">
        <v>97</v>
      </c>
      <c r="B6" s="110"/>
      <c r="C6" s="110"/>
      <c r="D6" s="110"/>
      <c r="E6" s="110"/>
      <c r="F6" s="110"/>
      <c r="G6" s="110"/>
      <c r="H6" s="110"/>
    </row>
    <row r="7" spans="1:8" ht="12.75">
      <c r="A7" s="36"/>
      <c r="E7" s="38"/>
      <c r="G7" s="38"/>
    </row>
    <row r="8" spans="1:8" ht="33" customHeight="1">
      <c r="A8" s="129" t="s">
        <v>98</v>
      </c>
      <c r="B8" s="122"/>
      <c r="C8" s="122"/>
      <c r="D8" s="122"/>
      <c r="E8" s="122"/>
      <c r="F8" s="122"/>
      <c r="G8" s="122"/>
      <c r="H8" s="118"/>
    </row>
    <row r="9" spans="1:8" ht="12.75">
      <c r="A9" s="36"/>
      <c r="E9" s="38"/>
      <c r="G9" s="38"/>
    </row>
    <row r="10" spans="1:8" ht="12.75">
      <c r="A10" s="39">
        <f ca="1">IFERROR(__xludf.DUMMYFUNCTION("IMPORTRANGE(""1qeeFCJCFKucGS14M4JpkDHd4OgBncP16-nnB1TgVYa4"",""AI!A10"")"),6)</f>
        <v>6</v>
      </c>
      <c r="B10" s="40" t="s">
        <v>99</v>
      </c>
      <c r="E10" s="38"/>
      <c r="F10" s="41"/>
      <c r="G10" s="43"/>
      <c r="H10" s="41" t="s">
        <v>79</v>
      </c>
    </row>
    <row r="11" spans="1:8" ht="12.75">
      <c r="A11" s="36"/>
      <c r="E11" s="38"/>
      <c r="F11" s="41"/>
      <c r="G11" s="43"/>
      <c r="H11" s="43"/>
    </row>
    <row r="12" spans="1:8">
      <c r="A12" s="44" t="s">
        <v>80</v>
      </c>
      <c r="B12" s="45" t="s">
        <v>81</v>
      </c>
      <c r="C12" s="44" t="s">
        <v>82</v>
      </c>
      <c r="D12" s="44" t="s">
        <v>83</v>
      </c>
      <c r="E12" s="64" t="s">
        <v>84</v>
      </c>
      <c r="F12" s="44" t="s">
        <v>85</v>
      </c>
      <c r="G12" s="44" t="s">
        <v>86</v>
      </c>
      <c r="H12" s="44" t="s">
        <v>87</v>
      </c>
    </row>
    <row r="13" spans="1:8" ht="12.75">
      <c r="A13" s="46">
        <f ca="1">IFERROR(__xludf.DUMMYFUNCTION("IMPORTRANGE(""1qeeFCJCFKucGS14M4JpkDHd4OgBncP16-nnB1TgVYa4"",""AI!A13:G1500"")"),1)</f>
        <v>1</v>
      </c>
      <c r="B13" s="65" t="str">
        <f ca="1">IFERROR(__xludf.DUMMYFUNCTION("""COMPUTED_VALUE"""),"575377")</f>
        <v>575377</v>
      </c>
      <c r="C13" s="48" t="str">
        <f ca="1">IFERROR(__xludf.DUMMYFUNCTION("""COMPUTED_VALUE"""),"BLANCHARD")</f>
        <v>BLANCHARD</v>
      </c>
      <c r="D13" s="48" t="str">
        <f ca="1">IFERROR(__xludf.DUMMYFUNCTION("""COMPUTED_VALUE"""),"Vincent")</f>
        <v>Vincent</v>
      </c>
      <c r="E13" s="77" t="str">
        <f ca="1">IFERROR(__xludf.DUMMYFUNCTION("""COMPUTED_VALUE"""),"06570005")</f>
        <v>06570005</v>
      </c>
      <c r="F13" s="48" t="str">
        <f ca="1">IFERROR(__xludf.DUMMYFUNCTION("""COMPUTED_VALUE"""),"FAULQUEMONT E.S.C.")</f>
        <v>FAULQUEMONT E.S.C.</v>
      </c>
      <c r="G13" s="50" t="str">
        <f ca="1">IFERROR(__xludf.DUMMYFUNCTION("""COMPUTED_VALUE"""),"CD57")</f>
        <v>CD57</v>
      </c>
      <c r="H13" s="50" t="str">
        <f ca="1">IFERROR(__xludf.DUMMYFUNCTION("IMPORTRANGE(""1qeeFCJCFKucGS14M4JpkDHd4OgBncP16-nnB1TgVYa4"",""AI!I13:I1500"")"),"actif")</f>
        <v>actif</v>
      </c>
    </row>
    <row r="14" spans="1:8" ht="12.75">
      <c r="A14" s="46">
        <f ca="1">IFERROR(__xludf.DUMMYFUNCTION("""COMPUTED_VALUE"""),2)</f>
        <v>2</v>
      </c>
      <c r="B14" s="65" t="str">
        <f ca="1">IFERROR(__xludf.DUMMYFUNCTION("""COMPUTED_VALUE"""),"5718244")</f>
        <v>5718244</v>
      </c>
      <c r="C14" s="48" t="str">
        <f ca="1">IFERROR(__xludf.DUMMYFUNCTION("""COMPUTED_VALUE"""),"DECLOMESNIL")</f>
        <v>DECLOMESNIL</v>
      </c>
      <c r="D14" s="48" t="str">
        <f ca="1">IFERROR(__xludf.DUMMYFUNCTION("""COMPUTED_VALUE"""),"Yohan")</f>
        <v>Yohan</v>
      </c>
      <c r="E14" s="77" t="str">
        <f ca="1">IFERROR(__xludf.DUMMYFUNCTION("""COMPUTED_VALUE"""),"06570024")</f>
        <v>06570024</v>
      </c>
      <c r="F14" s="48" t="str">
        <f ca="1">IFERROR(__xludf.DUMMYFUNCTION("""COMPUTED_VALUE"""),"THIONVILLE Tennis de Table")</f>
        <v>THIONVILLE Tennis de Table</v>
      </c>
      <c r="G14" s="50" t="str">
        <f ca="1">IFERROR(__xludf.DUMMYFUNCTION("""COMPUTED_VALUE"""),"CD57")</f>
        <v>CD57</v>
      </c>
      <c r="H14" s="50" t="str">
        <f ca="1">IFERROR(__xludf.DUMMYFUNCTION("""COMPUTED_VALUE"""),"actif")</f>
        <v>actif</v>
      </c>
    </row>
    <row r="15" spans="1:8" ht="12.75">
      <c r="A15" s="46">
        <f ca="1">IFERROR(__xludf.DUMMYFUNCTION("""COMPUTED_VALUE"""),3)</f>
        <v>3</v>
      </c>
      <c r="B15" s="65" t="str">
        <f ca="1">IFERROR(__xludf.DUMMYFUNCTION("""COMPUTED_VALUE"""),"6721761")</f>
        <v>6721761</v>
      </c>
      <c r="C15" s="48" t="str">
        <f ca="1">IFERROR(__xludf.DUMMYFUNCTION("""COMPUTED_VALUE"""),"HEY")</f>
        <v>HEY</v>
      </c>
      <c r="D15" s="48" t="str">
        <f ca="1">IFERROR(__xludf.DUMMYFUNCTION("""COMPUTED_VALUE"""),"Nicolas")</f>
        <v>Nicolas</v>
      </c>
      <c r="E15" s="77" t="str">
        <f ca="1">IFERROR(__xludf.DUMMYFUNCTION("""COMPUTED_VALUE"""),"06670261")</f>
        <v>06670261</v>
      </c>
      <c r="F15" s="78" t="str">
        <f ca="1">IFERROR(__xludf.DUMMYFUNCTION("""COMPUTED_VALUE"""),"Avenir KOCHERSBERG TT")</f>
        <v>Avenir KOCHERSBERG TT</v>
      </c>
      <c r="G15" s="50" t="str">
        <f ca="1">IFERROR(__xludf.DUMMYFUNCTION("""COMPUTED_VALUE"""),"CD67")</f>
        <v>CD67</v>
      </c>
      <c r="H15" s="50" t="str">
        <f ca="1">IFERROR(__xludf.DUMMYFUNCTION("""COMPUTED_VALUE"""),"actif")</f>
        <v>actif</v>
      </c>
    </row>
    <row r="16" spans="1:8" ht="12.75">
      <c r="A16" s="46">
        <f ca="1">IFERROR(__xludf.DUMMYFUNCTION("""COMPUTED_VALUE"""),4)</f>
        <v>4</v>
      </c>
      <c r="B16" s="65" t="str">
        <f ca="1">IFERROR(__xludf.DUMMYFUNCTION("""COMPUTED_VALUE"""),"5410797")</f>
        <v>5410797</v>
      </c>
      <c r="C16" s="48" t="str">
        <f ca="1">IFERROR(__xludf.DUMMYFUNCTION("""COMPUTED_VALUE"""),"LAPICQUE")</f>
        <v>LAPICQUE</v>
      </c>
      <c r="D16" s="48" t="str">
        <f ca="1">IFERROR(__xludf.DUMMYFUNCTION("""COMPUTED_VALUE"""),"Francoise")</f>
        <v>Francoise</v>
      </c>
      <c r="E16" s="77" t="str">
        <f ca="1">IFERROR(__xludf.DUMMYFUNCTION("""COMPUTED_VALUE"""),"06540040")</f>
        <v>06540040</v>
      </c>
      <c r="F16" s="48" t="str">
        <f ca="1">IFERROR(__xludf.DUMMYFUNCTION("""COMPUTED_VALUE"""),"VILLERS LES NANCY C.O.S.")</f>
        <v>VILLERS LES NANCY C.O.S.</v>
      </c>
      <c r="G16" s="50" t="str">
        <f ca="1">IFERROR(__xludf.DUMMYFUNCTION("""COMPUTED_VALUE"""),"CD54")</f>
        <v>CD54</v>
      </c>
      <c r="H16" s="50" t="str">
        <f ca="1">IFERROR(__xludf.DUMMYFUNCTION("""COMPUTED_VALUE"""),"actif")</f>
        <v>actif</v>
      </c>
    </row>
    <row r="17" spans="1:8" ht="12.75">
      <c r="A17" s="46">
        <f ca="1">IFERROR(__xludf.DUMMYFUNCTION("""COMPUTED_VALUE"""),5)</f>
        <v>5</v>
      </c>
      <c r="B17" s="65" t="str">
        <f ca="1">IFERROR(__xludf.DUMMYFUNCTION("""COMPUTED_VALUE"""),"5419441")</f>
        <v>5419441</v>
      </c>
      <c r="C17" s="48" t="str">
        <f ca="1">IFERROR(__xludf.DUMMYFUNCTION("""COMPUTED_VALUE"""),"PARMENTELAT")</f>
        <v>PARMENTELAT</v>
      </c>
      <c r="D17" s="48" t="str">
        <f ca="1">IFERROR(__xludf.DUMMYFUNCTION("""COMPUTED_VALUE"""),"Tamara")</f>
        <v>Tamara</v>
      </c>
      <c r="E17" s="77" t="str">
        <f ca="1">IFERROR(__xludf.DUMMYFUNCTION("""COMPUTED_VALUE"""),"06540028")</f>
        <v>06540028</v>
      </c>
      <c r="F17" s="48" t="str">
        <f ca="1">IFERROR(__xludf.DUMMYFUNCTION("""COMPUTED_VALUE"""),"NANCY ASPTT-JARVILLE Jeune")</f>
        <v>NANCY ASPTT-JARVILLE Jeune</v>
      </c>
      <c r="G17" s="50" t="str">
        <f ca="1">IFERROR(__xludf.DUMMYFUNCTION("""COMPUTED_VALUE"""),"CD54")</f>
        <v>CD54</v>
      </c>
      <c r="H17" s="50" t="str">
        <f ca="1">IFERROR(__xludf.DUMMYFUNCTION("""COMPUTED_VALUE"""),"actif")</f>
        <v>actif</v>
      </c>
    </row>
    <row r="18" spans="1:8" ht="12.75">
      <c r="A18" s="46">
        <f ca="1">IFERROR(__xludf.DUMMYFUNCTION("""COMPUTED_VALUE"""),6)</f>
        <v>6</v>
      </c>
      <c r="B18" s="65" t="str">
        <f ca="1">IFERROR(__xludf.DUMMYFUNCTION("""COMPUTED_VALUE"""),"518390")</f>
        <v>518390</v>
      </c>
      <c r="C18" s="48" t="str">
        <f ca="1">IFERROR(__xludf.DUMMYFUNCTION("""COMPUTED_VALUE"""),"PERRON")</f>
        <v>PERRON</v>
      </c>
      <c r="D18" s="48" t="str">
        <f ca="1">IFERROR(__xludf.DUMMYFUNCTION("""COMPUTED_VALUE"""),"Alain")</f>
        <v>Alain</v>
      </c>
      <c r="E18" s="77" t="str">
        <f ca="1">IFERROR(__xludf.DUMMYFUNCTION("""COMPUTED_VALUE"""),"06510019")</f>
        <v>06510019</v>
      </c>
      <c r="F18" s="48" t="str">
        <f ca="1">IFERROR(__xludf.DUMMYFUNCTION("""COMPUTED_VALUE"""),"TAISSY ASTT")</f>
        <v>TAISSY ASTT</v>
      </c>
      <c r="G18" s="50" t="str">
        <f ca="1">IFERROR(__xludf.DUMMYFUNCTION("""COMPUTED_VALUE"""),"CD51")</f>
        <v>CD51</v>
      </c>
      <c r="H18" s="50" t="str">
        <f ca="1">IFERROR(__xludf.DUMMYFUNCTION("""COMPUTED_VALUE"""),"actif")</f>
        <v>actif</v>
      </c>
    </row>
    <row r="19" spans="1:8" ht="12.75">
      <c r="A19" s="36"/>
      <c r="B19" s="54"/>
      <c r="C19" s="54"/>
      <c r="D19" s="54"/>
      <c r="E19" s="57"/>
      <c r="F19" s="54"/>
      <c r="G19" s="38"/>
    </row>
    <row r="20" spans="1:8" ht="12.75">
      <c r="A20" s="36"/>
      <c r="B20" s="54"/>
      <c r="C20" s="54"/>
      <c r="D20" s="54"/>
      <c r="E20" s="57"/>
      <c r="F20" s="54"/>
      <c r="G20" s="38"/>
    </row>
    <row r="21" spans="1:8" ht="12.75">
      <c r="A21" s="36"/>
      <c r="B21" s="54"/>
      <c r="C21" s="54"/>
      <c r="D21" s="54"/>
      <c r="E21" s="57"/>
      <c r="F21" s="54"/>
      <c r="G21" s="38"/>
    </row>
    <row r="22" spans="1:8" ht="12.75">
      <c r="A22" s="36"/>
      <c r="B22" s="54"/>
      <c r="C22" s="54"/>
      <c r="D22" s="54"/>
      <c r="E22" s="57"/>
      <c r="F22" s="54"/>
      <c r="G22" s="38"/>
    </row>
    <row r="23" spans="1:8" ht="12.75">
      <c r="A23" s="36"/>
      <c r="B23" s="54"/>
      <c r="C23" s="54"/>
      <c r="D23" s="54"/>
      <c r="E23" s="57"/>
      <c r="F23" s="54"/>
      <c r="G23" s="38"/>
    </row>
    <row r="24" spans="1:8" ht="12.75">
      <c r="A24" s="36"/>
      <c r="B24" s="54"/>
      <c r="C24" s="54"/>
      <c r="D24" s="54"/>
      <c r="E24" s="57"/>
      <c r="F24" s="54"/>
      <c r="G24" s="38"/>
    </row>
    <row r="25" spans="1:8" ht="12.75">
      <c r="A25" s="36"/>
      <c r="B25" s="54"/>
      <c r="C25" s="54"/>
      <c r="D25" s="54"/>
      <c r="E25" s="57"/>
      <c r="F25" s="54"/>
      <c r="G25" s="38"/>
    </row>
    <row r="26" spans="1:8" ht="12.75">
      <c r="A26" s="36"/>
      <c r="B26" s="54"/>
      <c r="C26" s="54"/>
      <c r="D26" s="54"/>
      <c r="E26" s="57"/>
      <c r="F26" s="54"/>
      <c r="G26" s="38"/>
    </row>
    <row r="27" spans="1:8" ht="12.75">
      <c r="A27" s="36"/>
      <c r="B27" s="54"/>
      <c r="C27" s="54"/>
      <c r="D27" s="54"/>
      <c r="E27" s="57"/>
      <c r="F27" s="54"/>
      <c r="G27" s="38"/>
    </row>
    <row r="28" spans="1:8" ht="12.75">
      <c r="A28" s="36"/>
      <c r="B28" s="54"/>
      <c r="C28" s="54"/>
      <c r="D28" s="54"/>
      <c r="E28" s="57"/>
      <c r="F28" s="54"/>
      <c r="G28" s="38"/>
    </row>
    <row r="29" spans="1:8" ht="12.75">
      <c r="A29" s="36"/>
      <c r="B29" s="54"/>
      <c r="C29" s="54"/>
      <c r="D29" s="54"/>
      <c r="E29" s="57"/>
      <c r="F29" s="54"/>
      <c r="G29" s="38"/>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H1499"/>
  <sheetViews>
    <sheetView tabSelected="1" workbookViewId="0">
      <pane ySplit="12" topLeftCell="A235" activePane="bottomLeft" state="frozen"/>
      <selection pane="bottomLeft" activeCell="A308" sqref="A308:H308"/>
    </sheetView>
  </sheetViews>
  <sheetFormatPr baseColWidth="10" defaultColWidth="12.5703125" defaultRowHeight="15.75" customHeight="1"/>
  <cols>
    <col min="1" max="1" width="4" customWidth="1"/>
    <col min="2" max="2" width="15.42578125" customWidth="1"/>
    <col min="3" max="3" width="20.42578125" customWidth="1"/>
    <col min="4" max="4" width="19.5703125" customWidth="1"/>
    <col min="5" max="5" width="8" hidden="1" customWidth="1"/>
    <col min="6" max="6" width="32.42578125" customWidth="1"/>
    <col min="7" max="7" width="7.7109375" customWidth="1"/>
    <col min="8" max="8" width="23.42578125" customWidth="1"/>
  </cols>
  <sheetData>
    <row r="1" spans="1:8" ht="12" customHeight="1">
      <c r="A1" s="34"/>
      <c r="B1" s="34"/>
      <c r="C1" s="34"/>
      <c r="D1" s="34"/>
      <c r="E1" s="34"/>
      <c r="F1" s="126" t="s">
        <v>10</v>
      </c>
      <c r="G1" s="110"/>
      <c r="H1" s="110"/>
    </row>
    <row r="2" spans="1:8" ht="12" customHeight="1">
      <c r="A2" s="34"/>
      <c r="B2" s="34"/>
      <c r="C2" s="34"/>
      <c r="D2" s="34"/>
      <c r="E2" s="34"/>
      <c r="F2" s="114"/>
      <c r="G2" s="114"/>
      <c r="H2" s="114"/>
    </row>
    <row r="3" spans="1:8" ht="12" customHeight="1">
      <c r="A3" s="34"/>
      <c r="B3" s="34"/>
      <c r="C3" s="34"/>
      <c r="D3" s="34"/>
      <c r="E3" s="34"/>
      <c r="F3" s="127" t="s">
        <v>11</v>
      </c>
      <c r="G3" s="110"/>
      <c r="H3" s="110"/>
    </row>
    <row r="4" spans="1:8" ht="12" customHeight="1">
      <c r="A4" s="34"/>
      <c r="B4" s="34"/>
      <c r="C4" s="34"/>
      <c r="D4" s="34"/>
      <c r="E4" s="34"/>
      <c r="F4" s="110"/>
      <c r="G4" s="110"/>
      <c r="H4" s="110"/>
    </row>
    <row r="5" spans="1:8" ht="23.25">
      <c r="A5" s="34"/>
      <c r="B5" s="34"/>
      <c r="C5" s="34"/>
      <c r="D5" s="34"/>
      <c r="E5" s="34"/>
      <c r="F5" s="34"/>
      <c r="G5" s="34"/>
      <c r="H5" s="34"/>
    </row>
    <row r="6" spans="1:8" ht="23.25">
      <c r="A6" s="128" t="s">
        <v>100</v>
      </c>
      <c r="B6" s="110"/>
      <c r="C6" s="110"/>
      <c r="D6" s="110"/>
      <c r="E6" s="110"/>
      <c r="F6" s="110"/>
      <c r="G6" s="110"/>
      <c r="H6" s="110"/>
    </row>
    <row r="7" spans="1:8" ht="12.75">
      <c r="A7" s="36"/>
      <c r="E7" s="57"/>
      <c r="G7" s="38"/>
    </row>
    <row r="8" spans="1:8" ht="33" customHeight="1">
      <c r="A8" s="129" t="s">
        <v>101</v>
      </c>
      <c r="B8" s="122"/>
      <c r="C8" s="122"/>
      <c r="D8" s="122"/>
      <c r="E8" s="122"/>
      <c r="F8" s="122"/>
      <c r="G8" s="122"/>
      <c r="H8" s="118"/>
    </row>
    <row r="9" spans="1:8" ht="12.75">
      <c r="A9" s="36"/>
      <c r="E9" s="57"/>
      <c r="G9" s="38"/>
    </row>
    <row r="10" spans="1:8" ht="12.75">
      <c r="A10" s="39">
        <f ca="1">IFERROR(__xludf.DUMMYFUNCTION("IMPORTRANGE(""1qeeFCJCFKucGS14M4JpkDHd4OgBncP16-nnB1TgVYa4"",""JA1!A10"")"),398)</f>
        <v>398</v>
      </c>
      <c r="B10" s="40" t="s">
        <v>102</v>
      </c>
      <c r="E10" s="57"/>
      <c r="F10" s="41"/>
      <c r="G10" s="79"/>
      <c r="H10" s="41" t="s">
        <v>79</v>
      </c>
    </row>
    <row r="11" spans="1:8" ht="12.75">
      <c r="A11" s="58" t="str">
        <f ca="1">IFERROR(__xludf.DUMMYFUNCTION("IMPORTRANGE(""1qeeFCJCFKucGS14M4JpkDHd4OgBncP16-nnB1TgVYa4"",""AR!A11"")"),"La liste des cadres est remise à jour courant octobre en fonction de la participation aux colloques")</f>
        <v>La liste des cadres est remise à jour courant octobre en fonction de la participation aux colloques</v>
      </c>
      <c r="B11" s="60"/>
      <c r="C11" s="60"/>
      <c r="D11" s="60"/>
      <c r="E11" s="61"/>
      <c r="F11" s="62"/>
      <c r="G11" s="63"/>
      <c r="H11" s="63"/>
    </row>
    <row r="12" spans="1:8">
      <c r="A12" s="44" t="s">
        <v>80</v>
      </c>
      <c r="B12" s="45" t="s">
        <v>81</v>
      </c>
      <c r="C12" s="44" t="s">
        <v>82</v>
      </c>
      <c r="D12" s="44" t="s">
        <v>83</v>
      </c>
      <c r="E12" s="64" t="s">
        <v>84</v>
      </c>
      <c r="F12" s="44" t="s">
        <v>85</v>
      </c>
      <c r="G12" s="44" t="s">
        <v>86</v>
      </c>
      <c r="H12" s="44" t="s">
        <v>87</v>
      </c>
    </row>
    <row r="13" spans="1:8" ht="12.75">
      <c r="A13" s="46">
        <f ca="1">IFERROR(__xludf.DUMMYFUNCTION("IMPORTRANGE(""1qeeFCJCFKucGS14M4JpkDHd4OgBncP16-nnB1TgVYa4"",""JA1!A13:G1500"")"),1)</f>
        <v>1</v>
      </c>
      <c r="B13" s="65" t="str">
        <f ca="1">IFERROR(__xludf.DUMMYFUNCTION("""COMPUTED_VALUE"""),"5410039")</f>
        <v>5410039</v>
      </c>
      <c r="C13" s="48" t="str">
        <f ca="1">IFERROR(__xludf.DUMMYFUNCTION("""COMPUTED_VALUE"""),"ALMERAS")</f>
        <v>ALMERAS</v>
      </c>
      <c r="D13" s="48" t="str">
        <f ca="1">IFERROR(__xludf.DUMMYFUNCTION("""COMPUTED_VALUE"""),"Nicolas")</f>
        <v>Nicolas</v>
      </c>
      <c r="E13" s="49" t="str">
        <f ca="1">IFERROR(__xludf.DUMMYFUNCTION("""COMPUTED_VALUE"""),"06540157")</f>
        <v>06540157</v>
      </c>
      <c r="F13" s="48" t="str">
        <f ca="1">IFERROR(__xludf.DUMMYFUNCTION("""COMPUTED_VALUE"""),"ST NICOLAS DE PORT PPCP")</f>
        <v>ST NICOLAS DE PORT PPCP</v>
      </c>
      <c r="G13" s="50" t="str">
        <f ca="1">IFERROR(__xludf.DUMMYFUNCTION("""COMPUTED_VALUE"""),"CD54")</f>
        <v>CD54</v>
      </c>
      <c r="H13" s="50" t="str">
        <f ca="1">IFERROR(__xludf.DUMMYFUNCTION("IMPORTRANGE(""1qeeFCJCFKucGS14M4JpkDHd4OgBncP16-nnB1TgVYa4"",""JA1!I13:I1500"")"),"inactivité 3ème année")</f>
        <v>inactivité 3ème année</v>
      </c>
    </row>
    <row r="14" spans="1:8" ht="12.75">
      <c r="A14" s="140">
        <f ca="1">IFERROR(__xludf.DUMMYFUNCTION("""COMPUTED_VALUE"""),2)</f>
        <v>2</v>
      </c>
      <c r="B14" s="136" t="str">
        <f ca="1">IFERROR(__xludf.DUMMYFUNCTION("""COMPUTED_VALUE"""),"673235")</f>
        <v>673235</v>
      </c>
      <c r="C14" s="137" t="str">
        <f ca="1">IFERROR(__xludf.DUMMYFUNCTION("""COMPUTED_VALUE"""),"ALVAREZ")</f>
        <v>ALVAREZ</v>
      </c>
      <c r="D14" s="137" t="str">
        <f ca="1">IFERROR(__xludf.DUMMYFUNCTION("""COMPUTED_VALUE"""),"Jose")</f>
        <v>Jose</v>
      </c>
      <c r="E14" s="138" t="str">
        <f ca="1">IFERROR(__xludf.DUMMYFUNCTION("""COMPUTED_VALUE"""),"06670058")</f>
        <v>06670058</v>
      </c>
      <c r="F14" s="137" t="str">
        <f ca="1">IFERROR(__xludf.DUMMYFUNCTION("""COMPUTED_VALUE"""),"BENFELD LAURENTIA S.S.C.")</f>
        <v>BENFELD LAURENTIA S.S.C.</v>
      </c>
      <c r="G14" s="139" t="str">
        <f ca="1">IFERROR(__xludf.DUMMYFUNCTION("""COMPUTED_VALUE"""),"CD67")</f>
        <v>CD67</v>
      </c>
      <c r="H14" s="139" t="str">
        <f ca="1">IFERROR(__xludf.DUMMYFUNCTION("""COMPUTED_VALUE"""),"inactivité 1ère année")</f>
        <v>inactivité 1ère année</v>
      </c>
    </row>
    <row r="15" spans="1:8" ht="12.75">
      <c r="A15" s="46">
        <f ca="1">IFERROR(__xludf.DUMMYFUNCTION("""COMPUTED_VALUE"""),3)</f>
        <v>3</v>
      </c>
      <c r="B15" s="65" t="str">
        <f ca="1">IFERROR(__xludf.DUMMYFUNCTION("""COMPUTED_VALUE"""),"674049")</f>
        <v>674049</v>
      </c>
      <c r="C15" s="48" t="str">
        <f ca="1">IFERROR(__xludf.DUMMYFUNCTION("""COMPUTED_VALUE"""),"AMBERG")</f>
        <v>AMBERG</v>
      </c>
      <c r="D15" s="48" t="str">
        <f ca="1">IFERROR(__xludf.DUMMYFUNCTION("""COMPUTED_VALUE"""),"Christophe")</f>
        <v>Christophe</v>
      </c>
      <c r="E15" s="49" t="str">
        <f ca="1">IFERROR(__xludf.DUMMYFUNCTION("""COMPUTED_VALUE"""),"06670114")</f>
        <v>06670114</v>
      </c>
      <c r="F15" s="48" t="str">
        <f ca="1">IFERROR(__xludf.DUMMYFUNCTION("""COMPUTED_VALUE"""),"KESKASTEL TT")</f>
        <v>KESKASTEL TT</v>
      </c>
      <c r="G15" s="50" t="str">
        <f ca="1">IFERROR(__xludf.DUMMYFUNCTION("""COMPUTED_VALUE"""),"CD67")</f>
        <v>CD67</v>
      </c>
      <c r="H15" s="50" t="str">
        <f ca="1">IFERROR(__xludf.DUMMYFUNCTION("""COMPUTED_VALUE"""),"actif")</f>
        <v>actif</v>
      </c>
    </row>
    <row r="16" spans="1:8" ht="12.75">
      <c r="A16" s="46">
        <f ca="1">IFERROR(__xludf.DUMMYFUNCTION("""COMPUTED_VALUE"""),4)</f>
        <v>4</v>
      </c>
      <c r="B16" s="65" t="str">
        <f ca="1">IFERROR(__xludf.DUMMYFUNCTION("""COMPUTED_VALUE"""),"081379")</f>
        <v>081379</v>
      </c>
      <c r="C16" s="48" t="str">
        <f ca="1">IFERROR(__xludf.DUMMYFUNCTION("""COMPUTED_VALUE"""),"ANCELIN")</f>
        <v>ANCELIN</v>
      </c>
      <c r="D16" s="48" t="str">
        <f ca="1">IFERROR(__xludf.DUMMYFUNCTION("""COMPUTED_VALUE"""),"Yvon")</f>
        <v>Yvon</v>
      </c>
      <c r="E16" s="49" t="str">
        <f ca="1">IFERROR(__xludf.DUMMYFUNCTION("""COMPUTED_VALUE"""),"06080043")</f>
        <v>06080043</v>
      </c>
      <c r="F16" s="48" t="str">
        <f ca="1">IFERROR(__xludf.DUMMYFUNCTION("""COMPUTED_VALUE"""),"ETREPIGNY TT")</f>
        <v>ETREPIGNY TT</v>
      </c>
      <c r="G16" s="50" t="str">
        <f ca="1">IFERROR(__xludf.DUMMYFUNCTION("""COMPUTED_VALUE"""),"CD08")</f>
        <v>CD08</v>
      </c>
      <c r="H16" s="50" t="str">
        <f ca="1">IFERROR(__xludf.DUMMYFUNCTION("""COMPUTED_VALUE"""),"inactivité 3ème année")</f>
        <v>inactivité 3ème année</v>
      </c>
    </row>
    <row r="17" spans="1:8" ht="12.75">
      <c r="A17" s="46">
        <f ca="1">IFERROR(__xludf.DUMMYFUNCTION("""COMPUTED_VALUE"""),5)</f>
        <v>5</v>
      </c>
      <c r="B17" s="65" t="str">
        <f ca="1">IFERROR(__xludf.DUMMYFUNCTION("""COMPUTED_VALUE"""),"885535")</f>
        <v>885535</v>
      </c>
      <c r="C17" s="48" t="str">
        <f ca="1">IFERROR(__xludf.DUMMYFUNCTION("""COMPUTED_VALUE"""),"ANDRE")</f>
        <v>ANDRE</v>
      </c>
      <c r="D17" s="48" t="str">
        <f ca="1">IFERROR(__xludf.DUMMYFUNCTION("""COMPUTED_VALUE"""),"Eric")</f>
        <v>Eric</v>
      </c>
      <c r="E17" s="49" t="str">
        <f ca="1">IFERROR(__xludf.DUMMYFUNCTION("""COMPUTED_VALUE"""),"06880145")</f>
        <v>06880145</v>
      </c>
      <c r="F17" s="48" t="str">
        <f ca="1">IFERROR(__xludf.DUMMYFUNCTION("""COMPUTED_VALUE"""),"THAON CHENIMENIL E.S.T.T.")</f>
        <v>THAON CHENIMENIL E.S.T.T.</v>
      </c>
      <c r="G17" s="50" t="str">
        <f ca="1">IFERROR(__xludf.DUMMYFUNCTION("""COMPUTED_VALUE"""),"CD88")</f>
        <v>CD88</v>
      </c>
      <c r="H17" s="50" t="str">
        <f ca="1">IFERROR(__xludf.DUMMYFUNCTION("""COMPUTED_VALUE"""),"inactivité 1ère année")</f>
        <v>inactivité 1ère année</v>
      </c>
    </row>
    <row r="18" spans="1:8" ht="12.75">
      <c r="A18" s="46">
        <f ca="1">IFERROR(__xludf.DUMMYFUNCTION("""COMPUTED_VALUE"""),6)</f>
        <v>6</v>
      </c>
      <c r="B18" s="65" t="str">
        <f ca="1">IFERROR(__xludf.DUMMYFUNCTION("""COMPUTED_VALUE"""),"553706")</f>
        <v>553706</v>
      </c>
      <c r="C18" s="48" t="str">
        <f ca="1">IFERROR(__xludf.DUMMYFUNCTION("""COMPUTED_VALUE"""),"ARBONNEAU")</f>
        <v>ARBONNEAU</v>
      </c>
      <c r="D18" s="48" t="str">
        <f ca="1">IFERROR(__xludf.DUMMYFUNCTION("""COMPUTED_VALUE"""),"David")</f>
        <v>David</v>
      </c>
      <c r="E18" s="49" t="str">
        <f ca="1">IFERROR(__xludf.DUMMYFUNCTION("""COMPUTED_VALUE"""),"06540034")</f>
        <v>06540034</v>
      </c>
      <c r="F18" s="48" t="str">
        <f ca="1">IFERROR(__xludf.DUMMYFUNCTION("""COMPUTED_VALUE"""),"SAINT MAX T.T.H.R.")</f>
        <v>SAINT MAX T.T.H.R.</v>
      </c>
      <c r="G18" s="50" t="str">
        <f ca="1">IFERROR(__xludf.DUMMYFUNCTION("""COMPUTED_VALUE"""),"CD54")</f>
        <v>CD54</v>
      </c>
      <c r="H18" s="50" t="str">
        <f ca="1">IFERROR(__xludf.DUMMYFUNCTION("""COMPUTED_VALUE"""),"inactivité 2ème année")</f>
        <v>inactivité 2ème année</v>
      </c>
    </row>
    <row r="19" spans="1:8" ht="12.75">
      <c r="A19" s="46">
        <f ca="1">IFERROR(__xludf.DUMMYFUNCTION("""COMPUTED_VALUE"""),7)</f>
        <v>7</v>
      </c>
      <c r="B19" s="65" t="str">
        <f ca="1">IFERROR(__xludf.DUMMYFUNCTION("""COMPUTED_VALUE"""),"105931")</f>
        <v>105931</v>
      </c>
      <c r="C19" s="48" t="str">
        <f ca="1">IFERROR(__xludf.DUMMYFUNCTION("""COMPUTED_VALUE"""),"ARCELIN")</f>
        <v>ARCELIN</v>
      </c>
      <c r="D19" s="48" t="str">
        <f ca="1">IFERROR(__xludf.DUMMYFUNCTION("""COMPUTED_VALUE"""),"Alix")</f>
        <v>Alix</v>
      </c>
      <c r="E19" s="49" t="str">
        <f ca="1">IFERROR(__xludf.DUMMYFUNCTION("""COMPUTED_VALUE"""),"06100032")</f>
        <v>06100032</v>
      </c>
      <c r="F19" s="48" t="str">
        <f ca="1">IFERROR(__xludf.DUMMYFUNCTION("""COMPUTED_VALUE"""),"SAINT ANDRE ASTT Dryate")</f>
        <v>SAINT ANDRE ASTT Dryate</v>
      </c>
      <c r="G19" s="50" t="str">
        <f ca="1">IFERROR(__xludf.DUMMYFUNCTION("""COMPUTED_VALUE"""),"CD10")</f>
        <v>CD10</v>
      </c>
      <c r="H19" s="50" t="str">
        <f ca="1">IFERROR(__xludf.DUMMYFUNCTION("""COMPUTED_VALUE"""),"inactivité 2ème année")</f>
        <v>inactivité 2ème année</v>
      </c>
    </row>
    <row r="20" spans="1:8" ht="12.75">
      <c r="A20" s="46">
        <f ca="1">IFERROR(__xludf.DUMMYFUNCTION("""COMPUTED_VALUE"""),8)</f>
        <v>8</v>
      </c>
      <c r="B20" s="65" t="str">
        <f ca="1">IFERROR(__xludf.DUMMYFUNCTION("""COMPUTED_VALUE"""),"571130")</f>
        <v>571130</v>
      </c>
      <c r="C20" s="48" t="str">
        <f ca="1">IFERROR(__xludf.DUMMYFUNCTION("""COMPUTED_VALUE"""),"ARNOLD")</f>
        <v>ARNOLD</v>
      </c>
      <c r="D20" s="48" t="str">
        <f ca="1">IFERROR(__xludf.DUMMYFUNCTION("""COMPUTED_VALUE"""),"Christian")</f>
        <v>Christian</v>
      </c>
      <c r="E20" s="49" t="str">
        <f ca="1">IFERROR(__xludf.DUMMYFUNCTION("""COMPUTED_VALUE"""),"06570078")</f>
        <v>06570078</v>
      </c>
      <c r="F20" s="48" t="str">
        <f ca="1">IFERROR(__xludf.DUMMYFUNCTION("""COMPUTED_VALUE"""),"CLOUANGE T.T.")</f>
        <v>CLOUANGE T.T.</v>
      </c>
      <c r="G20" s="50" t="str">
        <f ca="1">IFERROR(__xludf.DUMMYFUNCTION("""COMPUTED_VALUE"""),"CD57")</f>
        <v>CD57</v>
      </c>
      <c r="H20" s="50" t="str">
        <f ca="1">IFERROR(__xludf.DUMMYFUNCTION("""COMPUTED_VALUE"""),"actif")</f>
        <v>actif</v>
      </c>
    </row>
    <row r="21" spans="1:8" ht="12.75">
      <c r="A21" s="46">
        <f ca="1">IFERROR(__xludf.DUMMYFUNCTION("""COMPUTED_VALUE"""),9)</f>
        <v>9</v>
      </c>
      <c r="B21" s="65" t="str">
        <f ca="1">IFERROR(__xludf.DUMMYFUNCTION("""COMPUTED_VALUE"""),"085868")</f>
        <v>085868</v>
      </c>
      <c r="C21" s="48" t="str">
        <f ca="1">IFERROR(__xludf.DUMMYFUNCTION("""COMPUTED_VALUE"""),"AUCHTER")</f>
        <v>AUCHTER</v>
      </c>
      <c r="D21" s="48" t="str">
        <f ca="1">IFERROR(__xludf.DUMMYFUNCTION("""COMPUTED_VALUE"""),"Morgan")</f>
        <v>Morgan</v>
      </c>
      <c r="E21" s="49" t="str">
        <f ca="1">IFERROR(__xludf.DUMMYFUNCTION("""COMPUTED_VALUE"""),"06080024")</f>
        <v>06080024</v>
      </c>
      <c r="F21" s="48" t="str">
        <f ca="1">IFERROR(__xludf.DUMMYFUNCTION("""COMPUTED_VALUE"""),"FLOING PPC")</f>
        <v>FLOING PPC</v>
      </c>
      <c r="G21" s="50" t="str">
        <f ca="1">IFERROR(__xludf.DUMMYFUNCTION("""COMPUTED_VALUE"""),"CD08")</f>
        <v>CD08</v>
      </c>
      <c r="H21" s="50" t="str">
        <f ca="1">IFERROR(__xludf.DUMMYFUNCTION("""COMPUTED_VALUE"""),"inactivité 3ème année")</f>
        <v>inactivité 3ème année</v>
      </c>
    </row>
    <row r="22" spans="1:8" ht="12.75">
      <c r="A22" s="46">
        <f ca="1">IFERROR(__xludf.DUMMYFUNCTION("""COMPUTED_VALUE"""),10)</f>
        <v>10</v>
      </c>
      <c r="B22" s="65" t="str">
        <f ca="1">IFERROR(__xludf.DUMMYFUNCTION("""COMPUTED_VALUE"""),"576616")</f>
        <v>576616</v>
      </c>
      <c r="C22" s="48" t="str">
        <f ca="1">IFERROR(__xludf.DUMMYFUNCTION("""COMPUTED_VALUE"""),"BACH")</f>
        <v>BACH</v>
      </c>
      <c r="D22" s="48" t="str">
        <f ca="1">IFERROR(__xludf.DUMMYFUNCTION("""COMPUTED_VALUE"""),"Nathalie")</f>
        <v>Nathalie</v>
      </c>
      <c r="E22" s="49" t="str">
        <f ca="1">IFERROR(__xludf.DUMMYFUNCTION("""COMPUTED_VALUE"""),"06570030")</f>
        <v>06570030</v>
      </c>
      <c r="F22" s="48" t="str">
        <f ca="1">IFERROR(__xludf.DUMMYFUNCTION("""COMPUTED_VALUE"""),"SPICHEREN C.S.N.")</f>
        <v>SPICHEREN C.S.N.</v>
      </c>
      <c r="G22" s="50" t="str">
        <f ca="1">IFERROR(__xludf.DUMMYFUNCTION("""COMPUTED_VALUE"""),"CD57")</f>
        <v>CD57</v>
      </c>
      <c r="H22" s="50" t="str">
        <f ca="1">IFERROR(__xludf.DUMMYFUNCTION("""COMPUTED_VALUE"""),"inactivité 2ème année")</f>
        <v>inactivité 2ème année</v>
      </c>
    </row>
    <row r="23" spans="1:8" ht="12.75">
      <c r="A23" s="46">
        <f ca="1">IFERROR(__xludf.DUMMYFUNCTION("""COMPUTED_VALUE"""),11)</f>
        <v>11</v>
      </c>
      <c r="B23" s="65" t="str">
        <f ca="1">IFERROR(__xludf.DUMMYFUNCTION("""COMPUTED_VALUE"""),"68695")</f>
        <v>68695</v>
      </c>
      <c r="C23" s="48" t="str">
        <f ca="1">IFERROR(__xludf.DUMMYFUNCTION("""COMPUTED_VALUE"""),"BAERENZUNG")</f>
        <v>BAERENZUNG</v>
      </c>
      <c r="D23" s="48" t="str">
        <f ca="1">IFERROR(__xludf.DUMMYFUNCTION("""COMPUTED_VALUE"""),"Michel")</f>
        <v>Michel</v>
      </c>
      <c r="E23" s="49" t="str">
        <f ca="1">IFERROR(__xludf.DUMMYFUNCTION("""COMPUTED_VALUE"""),"06680004")</f>
        <v>06680004</v>
      </c>
      <c r="F23" s="48" t="str">
        <f ca="1">IFERROR(__xludf.DUMMYFUNCTION("""COMPUTED_VALUE"""),"COLMAR MJC")</f>
        <v>COLMAR MJC</v>
      </c>
      <c r="G23" s="50" t="str">
        <f ca="1">IFERROR(__xludf.DUMMYFUNCTION("""COMPUTED_VALUE"""),"CD68")</f>
        <v>CD68</v>
      </c>
      <c r="H23" s="50" t="str">
        <f ca="1">IFERROR(__xludf.DUMMYFUNCTION("""COMPUTED_VALUE"""),"inactivité 1ère année")</f>
        <v>inactivité 1ère année</v>
      </c>
    </row>
    <row r="24" spans="1:8" ht="12.75">
      <c r="A24" s="46">
        <f ca="1">IFERROR(__xludf.DUMMYFUNCTION("""COMPUTED_VALUE"""),12)</f>
        <v>12</v>
      </c>
      <c r="B24" s="65" t="str">
        <f ca="1">IFERROR(__xludf.DUMMYFUNCTION("""COMPUTED_VALUE"""),"5714761")</f>
        <v>5714761</v>
      </c>
      <c r="C24" s="48" t="str">
        <f ca="1">IFERROR(__xludf.DUMMYFUNCTION("""COMPUTED_VALUE"""),"BAILLE")</f>
        <v>BAILLE</v>
      </c>
      <c r="D24" s="48" t="str">
        <f ca="1">IFERROR(__xludf.DUMMYFUNCTION("""COMPUTED_VALUE"""),"Olivier")</f>
        <v>Olivier</v>
      </c>
      <c r="E24" s="49" t="str">
        <f ca="1">IFERROR(__xludf.DUMMYFUNCTION("""COMPUTED_VALUE"""),"06570107")</f>
        <v>06570107</v>
      </c>
      <c r="F24" s="48" t="str">
        <f ca="1">IFERROR(__xludf.DUMMYFUNCTION("""COMPUTED_VALUE"""),"MAIZIÈRES-LÈS-METZ T.T.")</f>
        <v>MAIZIÈRES-LÈS-METZ T.T.</v>
      </c>
      <c r="G24" s="50" t="str">
        <f ca="1">IFERROR(__xludf.DUMMYFUNCTION("""COMPUTED_VALUE"""),"CD57")</f>
        <v>CD57</v>
      </c>
      <c r="H24" s="50" t="str">
        <f ca="1">IFERROR(__xludf.DUMMYFUNCTION("""COMPUTED_VALUE"""),"inactivité 2ème année")</f>
        <v>inactivité 2ème année</v>
      </c>
    </row>
    <row r="25" spans="1:8" ht="12.75">
      <c r="A25" s="46">
        <f ca="1">IFERROR(__xludf.DUMMYFUNCTION("""COMPUTED_VALUE"""),13)</f>
        <v>13</v>
      </c>
      <c r="B25" s="65" t="str">
        <f ca="1">IFERROR(__xludf.DUMMYFUNCTION("""COMPUTED_VALUE"""),"884610")</f>
        <v>884610</v>
      </c>
      <c r="C25" s="48" t="str">
        <f ca="1">IFERROR(__xludf.DUMMYFUNCTION("""COMPUTED_VALUE"""),"BARADEL")</f>
        <v>BARADEL</v>
      </c>
      <c r="D25" s="48" t="str">
        <f ca="1">IFERROR(__xludf.DUMMYFUNCTION("""COMPUTED_VALUE"""),"Lionel")</f>
        <v>Lionel</v>
      </c>
      <c r="E25" s="49" t="str">
        <f ca="1">IFERROR(__xludf.DUMMYFUNCTION("""COMPUTED_VALUE"""),"06680130")</f>
        <v>06680130</v>
      </c>
      <c r="F25" s="48" t="str">
        <f ca="1">IFERROR(__xludf.DUMMYFUNCTION("""COMPUTED_VALUE"""),"VAL de LIEPVRE ASL")</f>
        <v>VAL de LIEPVRE ASL</v>
      </c>
      <c r="G25" s="50" t="str">
        <f ca="1">IFERROR(__xludf.DUMMYFUNCTION("""COMPUTED_VALUE"""),"CD68")</f>
        <v>CD68</v>
      </c>
      <c r="H25" s="50" t="str">
        <f ca="1">IFERROR(__xludf.DUMMYFUNCTION("""COMPUTED_VALUE"""),"actif")</f>
        <v>actif</v>
      </c>
    </row>
    <row r="26" spans="1:8" ht="12.75">
      <c r="A26" s="46">
        <f ca="1">IFERROR(__xludf.DUMMYFUNCTION("""COMPUTED_VALUE"""),14)</f>
        <v>14</v>
      </c>
      <c r="B26" s="65" t="str">
        <f ca="1">IFERROR(__xludf.DUMMYFUNCTION("""COMPUTED_VALUE"""),"517784")</f>
        <v>517784</v>
      </c>
      <c r="C26" s="48" t="str">
        <f ca="1">IFERROR(__xludf.DUMMYFUNCTION("""COMPUTED_VALUE"""),"BARRIER")</f>
        <v>BARRIER</v>
      </c>
      <c r="D26" s="48" t="str">
        <f ca="1">IFERROR(__xludf.DUMMYFUNCTION("""COMPUTED_VALUE"""),"Baptiste")</f>
        <v>Baptiste</v>
      </c>
      <c r="E26" s="49" t="str">
        <f ca="1">IFERROR(__xludf.DUMMYFUNCTION("""COMPUTED_VALUE"""),"06510018")</f>
        <v>06510018</v>
      </c>
      <c r="F26" s="48" t="str">
        <f ca="1">IFERROR(__xludf.DUMMYFUNCTION("""COMPUTED_VALUE"""),"REIMS ASPTT")</f>
        <v>REIMS ASPTT</v>
      </c>
      <c r="G26" s="50" t="str">
        <f ca="1">IFERROR(__xludf.DUMMYFUNCTION("""COMPUTED_VALUE"""),"CD51")</f>
        <v>CD51</v>
      </c>
      <c r="H26" s="50" t="str">
        <f ca="1">IFERROR(__xludf.DUMMYFUNCTION("""COMPUTED_VALUE"""),"inactivité 3ème année")</f>
        <v>inactivité 3ème année</v>
      </c>
    </row>
    <row r="27" spans="1:8" ht="12.75">
      <c r="A27" s="46">
        <f ca="1">IFERROR(__xludf.DUMMYFUNCTION("""COMPUTED_VALUE"""),15)</f>
        <v>15</v>
      </c>
      <c r="B27" s="65" t="str">
        <f ca="1">IFERROR(__xludf.DUMMYFUNCTION("""COMPUTED_VALUE"""),"5430532")</f>
        <v>5430532</v>
      </c>
      <c r="C27" s="48" t="str">
        <f ca="1">IFERROR(__xludf.DUMMYFUNCTION("""COMPUTED_VALUE"""),"BASSIN")</f>
        <v>BASSIN</v>
      </c>
      <c r="D27" s="48" t="str">
        <f ca="1">IFERROR(__xludf.DUMMYFUNCTION("""COMPUTED_VALUE"""),"Christophe")</f>
        <v>Christophe</v>
      </c>
      <c r="E27" s="49" t="str">
        <f ca="1">IFERROR(__xludf.DUMMYFUNCTION("""COMPUTED_VALUE"""),"06540184")</f>
        <v>06540184</v>
      </c>
      <c r="F27" s="48" t="str">
        <f ca="1">IFERROR(__xludf.DUMMYFUNCTION("""COMPUTED_VALUE"""),"BATILLY Tennis de Table")</f>
        <v>BATILLY Tennis de Table</v>
      </c>
      <c r="G27" s="50" t="str">
        <f ca="1">IFERROR(__xludf.DUMMYFUNCTION("""COMPUTED_VALUE"""),"CD54")</f>
        <v>CD54</v>
      </c>
      <c r="H27" s="50" t="str">
        <f ca="1">IFERROR(__xludf.DUMMYFUNCTION("""COMPUTED_VALUE"""),"actif")</f>
        <v>actif</v>
      </c>
    </row>
    <row r="28" spans="1:8" ht="12.75">
      <c r="A28" s="46">
        <f ca="1">IFERROR(__xludf.DUMMYFUNCTION("""COMPUTED_VALUE"""),16)</f>
        <v>16</v>
      </c>
      <c r="B28" s="65" t="str">
        <f ca="1">IFERROR(__xludf.DUMMYFUNCTION("""COMPUTED_VALUE"""),"3412651")</f>
        <v>3412651</v>
      </c>
      <c r="C28" s="48" t="str">
        <f ca="1">IFERROR(__xludf.DUMMYFUNCTION("""COMPUTED_VALUE"""),"BEAUCLAIR")</f>
        <v>BEAUCLAIR</v>
      </c>
      <c r="D28" s="48" t="str">
        <f ca="1">IFERROR(__xludf.DUMMYFUNCTION("""COMPUTED_VALUE"""),"Karim")</f>
        <v>Karim</v>
      </c>
      <c r="E28" s="49" t="str">
        <f ca="1">IFERROR(__xludf.DUMMYFUNCTION("""COMPUTED_VALUE"""),"06100040")</f>
        <v>06100040</v>
      </c>
      <c r="F28" s="48" t="str">
        <f ca="1">IFERROR(__xludf.DUMMYFUNCTION("""COMPUTED_VALUE"""),"ROMILLY-VILLENAUXE CAP")</f>
        <v>ROMILLY-VILLENAUXE CAP</v>
      </c>
      <c r="G28" s="50" t="str">
        <f ca="1">IFERROR(__xludf.DUMMYFUNCTION("""COMPUTED_VALUE"""),"CD10")</f>
        <v>CD10</v>
      </c>
      <c r="H28" s="50" t="str">
        <f ca="1">IFERROR(__xludf.DUMMYFUNCTION("""COMPUTED_VALUE"""),"inactivité 3ème année")</f>
        <v>inactivité 3ème année</v>
      </c>
    </row>
    <row r="29" spans="1:8" ht="12.75">
      <c r="A29" s="46">
        <f ca="1">IFERROR(__xludf.DUMMYFUNCTION("""COMPUTED_VALUE"""),17)</f>
        <v>17</v>
      </c>
      <c r="B29" s="65" t="str">
        <f ca="1">IFERROR(__xludf.DUMMYFUNCTION("""COMPUTED_VALUE"""),"5730502")</f>
        <v>5730502</v>
      </c>
      <c r="C29" s="48" t="str">
        <f ca="1">IFERROR(__xludf.DUMMYFUNCTION("""COMPUTED_VALUE"""),"BENARD")</f>
        <v>BENARD</v>
      </c>
      <c r="D29" s="48" t="str">
        <f ca="1">IFERROR(__xludf.DUMMYFUNCTION("""COMPUTED_VALUE"""),"Loic")</f>
        <v>Loic</v>
      </c>
      <c r="E29" s="49" t="str">
        <f ca="1">IFERROR(__xludf.DUMMYFUNCTION("""COMPUTED_VALUE"""),"06570180")</f>
        <v>06570180</v>
      </c>
      <c r="F29" s="48" t="str">
        <f ca="1">IFERROR(__xludf.DUMMYFUNCTION("""COMPUTED_VALUE"""),"BEHREN LES FORBACH TT")</f>
        <v>BEHREN LES FORBACH TT</v>
      </c>
      <c r="G29" s="50" t="str">
        <f ca="1">IFERROR(__xludf.DUMMYFUNCTION("""COMPUTED_VALUE"""),"CD57")</f>
        <v>CD57</v>
      </c>
      <c r="H29" s="50" t="str">
        <f ca="1">IFERROR(__xludf.DUMMYFUNCTION("""COMPUTED_VALUE"""),"inactivité 1ère année")</f>
        <v>inactivité 1ère année</v>
      </c>
    </row>
    <row r="30" spans="1:8" ht="12.75">
      <c r="A30" s="46">
        <f ca="1">IFERROR(__xludf.DUMMYFUNCTION("""COMPUTED_VALUE"""),18)</f>
        <v>18</v>
      </c>
      <c r="B30" s="65" t="str">
        <f ca="1">IFERROR(__xludf.DUMMYFUNCTION("""COMPUTED_VALUE"""),"54479")</f>
        <v>54479</v>
      </c>
      <c r="C30" s="48" t="str">
        <f ca="1">IFERROR(__xludf.DUMMYFUNCTION("""COMPUTED_VALUE"""),"BERNARD")</f>
        <v>BERNARD</v>
      </c>
      <c r="D30" s="48" t="str">
        <f ca="1">IFERROR(__xludf.DUMMYFUNCTION("""COMPUTED_VALUE"""),"Nicole")</f>
        <v>Nicole</v>
      </c>
      <c r="E30" s="49" t="str">
        <f ca="1">IFERROR(__xludf.DUMMYFUNCTION("""COMPUTED_VALUE"""),"06540021")</f>
        <v>06540021</v>
      </c>
      <c r="F30" s="48" t="str">
        <f ca="1">IFERROR(__xludf.DUMMYFUNCTION("""COMPUTED_VALUE"""),"LUNEVILLE A.L.T.T.")</f>
        <v>LUNEVILLE A.L.T.T.</v>
      </c>
      <c r="G30" s="50" t="str">
        <f ca="1">IFERROR(__xludf.DUMMYFUNCTION("""COMPUTED_VALUE"""),"CD54")</f>
        <v>CD54</v>
      </c>
      <c r="H30" s="50" t="str">
        <f ca="1">IFERROR(__xludf.DUMMYFUNCTION("""COMPUTED_VALUE"""),"inactivité 1ère année")</f>
        <v>inactivité 1ère année</v>
      </c>
    </row>
    <row r="31" spans="1:8" ht="12.75">
      <c r="A31" s="46">
        <f ca="1">IFERROR(__xludf.DUMMYFUNCTION("""COMPUTED_VALUE"""),19)</f>
        <v>19</v>
      </c>
      <c r="B31" s="65" t="str">
        <f ca="1">IFERROR(__xludf.DUMMYFUNCTION("""COMPUTED_VALUE"""),"5112250")</f>
        <v>5112250</v>
      </c>
      <c r="C31" s="48" t="str">
        <f ca="1">IFERROR(__xludf.DUMMYFUNCTION("""COMPUTED_VALUE"""),"BERTHELOT")</f>
        <v>BERTHELOT</v>
      </c>
      <c r="D31" s="48" t="str">
        <f ca="1">IFERROR(__xludf.DUMMYFUNCTION("""COMPUTED_VALUE"""),"Maxime")</f>
        <v>Maxime</v>
      </c>
      <c r="E31" s="49" t="str">
        <f ca="1">IFERROR(__xludf.DUMMYFUNCTION("""COMPUTED_VALUE"""),"06510112")</f>
        <v>06510112</v>
      </c>
      <c r="F31" s="48" t="str">
        <f ca="1">IFERROR(__xludf.DUMMYFUNCTION("""COMPUTED_VALUE"""),"CHALONS-EN-CHAMPAGNE TT")</f>
        <v>CHALONS-EN-CHAMPAGNE TT</v>
      </c>
      <c r="G31" s="50" t="str">
        <f ca="1">IFERROR(__xludf.DUMMYFUNCTION("""COMPUTED_VALUE"""),"CD51")</f>
        <v>CD51</v>
      </c>
      <c r="H31" s="50" t="str">
        <f ca="1">IFERROR(__xludf.DUMMYFUNCTION("""COMPUTED_VALUE"""),"inactivité 1ère année")</f>
        <v>inactivité 1ère année</v>
      </c>
    </row>
    <row r="32" spans="1:8" ht="12.75">
      <c r="A32" s="46">
        <f ca="1">IFERROR(__xludf.DUMMYFUNCTION("""COMPUTED_VALUE"""),20)</f>
        <v>20</v>
      </c>
      <c r="B32" s="65" t="str">
        <f ca="1">IFERROR(__xludf.DUMMYFUNCTION("""COMPUTED_VALUE"""),"67702")</f>
        <v>67702</v>
      </c>
      <c r="C32" s="48" t="str">
        <f ca="1">IFERROR(__xludf.DUMMYFUNCTION("""COMPUTED_VALUE"""),"BERTRAND")</f>
        <v>BERTRAND</v>
      </c>
      <c r="D32" s="48" t="str">
        <f ca="1">IFERROR(__xludf.DUMMYFUNCTION("""COMPUTED_VALUE"""),"Jean-Claude")</f>
        <v>Jean-Claude</v>
      </c>
      <c r="E32" s="49" t="str">
        <f ca="1">IFERROR(__xludf.DUMMYFUNCTION("""COMPUTED_VALUE"""),"06670160")</f>
        <v>06670160</v>
      </c>
      <c r="F32" s="48" t="str">
        <f ca="1">IFERROR(__xludf.DUMMYFUNCTION("""COMPUTED_VALUE"""),"T.T.Haguenau Wissembourg")</f>
        <v>T.T.Haguenau Wissembourg</v>
      </c>
      <c r="G32" s="50" t="str">
        <f ca="1">IFERROR(__xludf.DUMMYFUNCTION("""COMPUTED_VALUE"""),"CD67")</f>
        <v>CD67</v>
      </c>
      <c r="H32" s="50" t="str">
        <f ca="1">IFERROR(__xludf.DUMMYFUNCTION("""COMPUTED_VALUE"""),"actif")</f>
        <v>actif</v>
      </c>
    </row>
    <row r="33" spans="1:8" ht="12.75">
      <c r="A33" s="46">
        <f ca="1">IFERROR(__xludf.DUMMYFUNCTION("""COMPUTED_VALUE"""),21)</f>
        <v>21</v>
      </c>
      <c r="B33" s="65" t="str">
        <f ca="1">IFERROR(__xludf.DUMMYFUNCTION("""COMPUTED_VALUE"""),"687389")</f>
        <v>687389</v>
      </c>
      <c r="C33" s="48" t="str">
        <f ca="1">IFERROR(__xludf.DUMMYFUNCTION("""COMPUTED_VALUE"""),"BERTRAND")</f>
        <v>BERTRAND</v>
      </c>
      <c r="D33" s="48" t="str">
        <f ca="1">IFERROR(__xludf.DUMMYFUNCTION("""COMPUTED_VALUE"""),"Dominique")</f>
        <v>Dominique</v>
      </c>
      <c r="E33" s="49" t="str">
        <f ca="1">IFERROR(__xludf.DUMMYFUNCTION("""COMPUTED_VALUE"""),"06680105")</f>
        <v>06680105</v>
      </c>
      <c r="F33" s="48" t="str">
        <f ca="1">IFERROR(__xludf.DUMMYFUNCTION("""COMPUTED_VALUE"""),"MULHOUSE TENNIS DE TABLE")</f>
        <v>MULHOUSE TENNIS DE TABLE</v>
      </c>
      <c r="G33" s="50" t="str">
        <f ca="1">IFERROR(__xludf.DUMMYFUNCTION("""COMPUTED_VALUE"""),"CD68")</f>
        <v>CD68</v>
      </c>
      <c r="H33" s="50" t="str">
        <f ca="1">IFERROR(__xludf.DUMMYFUNCTION("""COMPUTED_VALUE"""),"inactivité 2ème année")</f>
        <v>inactivité 2ème année</v>
      </c>
    </row>
    <row r="34" spans="1:8" ht="12.75">
      <c r="A34" s="46">
        <f ca="1">IFERROR(__xludf.DUMMYFUNCTION("""COMPUTED_VALUE"""),22)</f>
        <v>22</v>
      </c>
      <c r="B34" s="65" t="str">
        <f ca="1">IFERROR(__xludf.DUMMYFUNCTION("""COMPUTED_VALUE"""),"681102")</f>
        <v>681102</v>
      </c>
      <c r="C34" s="48" t="str">
        <f ca="1">IFERROR(__xludf.DUMMYFUNCTION("""COMPUTED_VALUE"""),"BETTINGER")</f>
        <v>BETTINGER</v>
      </c>
      <c r="D34" s="48" t="str">
        <f ca="1">IFERROR(__xludf.DUMMYFUNCTION("""COMPUTED_VALUE"""),"Robert")</f>
        <v>Robert</v>
      </c>
      <c r="E34" s="49" t="str">
        <f ca="1">IFERROR(__xludf.DUMMYFUNCTION("""COMPUTED_VALUE"""),"06680090")</f>
        <v>06680090</v>
      </c>
      <c r="F34" s="48" t="str">
        <f ca="1">IFERROR(__xludf.DUMMYFUNCTION("""COMPUTED_VALUE"""),"INGERSHEIM SSSA")</f>
        <v>INGERSHEIM SSSA</v>
      </c>
      <c r="G34" s="50" t="str">
        <f ca="1">IFERROR(__xludf.DUMMYFUNCTION("""COMPUTED_VALUE"""),"CD68")</f>
        <v>CD68</v>
      </c>
      <c r="H34" s="50" t="str">
        <f ca="1">IFERROR(__xludf.DUMMYFUNCTION("""COMPUTED_VALUE"""),"inactivité 3ème année")</f>
        <v>inactivité 3ème année</v>
      </c>
    </row>
    <row r="35" spans="1:8" ht="12.75">
      <c r="A35" s="46">
        <f ca="1">IFERROR(__xludf.DUMMYFUNCTION("""COMPUTED_VALUE"""),23)</f>
        <v>23</v>
      </c>
      <c r="B35" s="65" t="str">
        <f ca="1">IFERROR(__xludf.DUMMYFUNCTION("""COMPUTED_VALUE"""),"6724624")</f>
        <v>6724624</v>
      </c>
      <c r="C35" s="48" t="str">
        <f ca="1">IFERROR(__xludf.DUMMYFUNCTION("""COMPUTED_VALUE"""),"BEYREUTHER")</f>
        <v>BEYREUTHER</v>
      </c>
      <c r="D35" s="48" t="str">
        <f ca="1">IFERROR(__xludf.DUMMYFUNCTION("""COMPUTED_VALUE"""),"Lea")</f>
        <v>Lea</v>
      </c>
      <c r="E35" s="49" t="str">
        <f ca="1">IFERROR(__xludf.DUMMYFUNCTION("""COMPUTED_VALUE"""),"06670212")</f>
        <v>06670212</v>
      </c>
      <c r="F35" s="48" t="str">
        <f ca="1">IFERROR(__xludf.DUMMYFUNCTION("""COMPUTED_VALUE"""),"LEUTENHEIM C.T.T.")</f>
        <v>LEUTENHEIM C.T.T.</v>
      </c>
      <c r="G35" s="50" t="str">
        <f ca="1">IFERROR(__xludf.DUMMYFUNCTION("""COMPUTED_VALUE"""),"CD67")</f>
        <v>CD67</v>
      </c>
      <c r="H35" s="50" t="str">
        <f ca="1">IFERROR(__xludf.DUMMYFUNCTION("""COMPUTED_VALUE"""),"inactivité 1ère année")</f>
        <v>inactivité 1ère année</v>
      </c>
    </row>
    <row r="36" spans="1:8" ht="12.75">
      <c r="A36" s="46">
        <f ca="1">IFERROR(__xludf.DUMMYFUNCTION("""COMPUTED_VALUE"""),24)</f>
        <v>24</v>
      </c>
      <c r="B36" s="65" t="str">
        <f ca="1">IFERROR(__xludf.DUMMYFUNCTION("""COMPUTED_VALUE"""),"579272")</f>
        <v>579272</v>
      </c>
      <c r="C36" s="48" t="str">
        <f ca="1">IFERROR(__xludf.DUMMYFUNCTION("""COMPUTED_VALUE"""),"BICHLER")</f>
        <v>BICHLER</v>
      </c>
      <c r="D36" s="48" t="str">
        <f ca="1">IFERROR(__xludf.DUMMYFUNCTION("""COMPUTED_VALUE"""),"Christian")</f>
        <v>Christian</v>
      </c>
      <c r="E36" s="49" t="str">
        <f ca="1">IFERROR(__xludf.DUMMYFUNCTION("""COMPUTED_VALUE"""),"06570146")</f>
        <v>06570146</v>
      </c>
      <c r="F36" s="48" t="str">
        <f ca="1">IFERROR(__xludf.DUMMYFUNCTION("""COMPUTED_VALUE"""),"ROHRBACH-LES-BITCHE TT")</f>
        <v>ROHRBACH-LES-BITCHE TT</v>
      </c>
      <c r="G36" s="50" t="str">
        <f ca="1">IFERROR(__xludf.DUMMYFUNCTION("""COMPUTED_VALUE"""),"CD57")</f>
        <v>CD57</v>
      </c>
      <c r="H36" s="50" t="str">
        <f ca="1">IFERROR(__xludf.DUMMYFUNCTION("""COMPUTED_VALUE"""),"inactivité 2ème année")</f>
        <v>inactivité 2ème année</v>
      </c>
    </row>
    <row r="37" spans="1:8" ht="12.75">
      <c r="A37" s="46">
        <f ca="1">IFERROR(__xludf.DUMMYFUNCTION("""COMPUTED_VALUE"""),25)</f>
        <v>25</v>
      </c>
      <c r="B37" s="65" t="str">
        <f ca="1">IFERROR(__xludf.DUMMYFUNCTION("""COMPUTED_VALUE"""),"102524")</f>
        <v>102524</v>
      </c>
      <c r="C37" s="48" t="str">
        <f ca="1">IFERROR(__xludf.DUMMYFUNCTION("""COMPUTED_VALUE"""),"BIGET")</f>
        <v>BIGET</v>
      </c>
      <c r="D37" s="48" t="str">
        <f ca="1">IFERROR(__xludf.DUMMYFUNCTION("""COMPUTED_VALUE"""),"Jeremy")</f>
        <v>Jeremy</v>
      </c>
      <c r="E37" s="49" t="str">
        <f ca="1">IFERROR(__xludf.DUMMYFUNCTION("""COMPUTED_VALUE"""),"06100004")</f>
        <v>06100004</v>
      </c>
      <c r="F37" s="48" t="str">
        <f ca="1">IFERROR(__xludf.DUMMYFUNCTION("""COMPUTED_VALUE"""),"MOUSSEY CS")</f>
        <v>MOUSSEY CS</v>
      </c>
      <c r="G37" s="50" t="str">
        <f ca="1">IFERROR(__xludf.DUMMYFUNCTION("""COMPUTED_VALUE"""),"CD10")</f>
        <v>CD10</v>
      </c>
      <c r="H37" s="50" t="str">
        <f ca="1">IFERROR(__xludf.DUMMYFUNCTION("""COMPUTED_VALUE"""),"inactivité 1ère année")</f>
        <v>inactivité 1ère année</v>
      </c>
    </row>
    <row r="38" spans="1:8" ht="12.75">
      <c r="A38" s="46">
        <f ca="1">IFERROR(__xludf.DUMMYFUNCTION("""COMPUTED_VALUE"""),26)</f>
        <v>26</v>
      </c>
      <c r="B38" s="65" t="str">
        <f ca="1">IFERROR(__xludf.DUMMYFUNCTION("""COMPUTED_VALUE"""),"54278")</f>
        <v>54278</v>
      </c>
      <c r="C38" s="48" t="str">
        <f ca="1">IFERROR(__xludf.DUMMYFUNCTION("""COMPUTED_VALUE"""),"BILLANT")</f>
        <v>BILLANT</v>
      </c>
      <c r="D38" s="48" t="str">
        <f ca="1">IFERROR(__xludf.DUMMYFUNCTION("""COMPUTED_VALUE"""),"Paul")</f>
        <v>Paul</v>
      </c>
      <c r="E38" s="49" t="str">
        <f ca="1">IFERROR(__xludf.DUMMYFUNCTION("""COMPUTED_VALUE"""),"06540016")</f>
        <v>06540016</v>
      </c>
      <c r="F38" s="48" t="str">
        <f ca="1">IFERROR(__xludf.DUMMYFUNCTION("""COMPUTED_VALUE"""),"LAXOU AMICALE L.EMILE ZOLA")</f>
        <v>LAXOU AMICALE L.EMILE ZOLA</v>
      </c>
      <c r="G38" s="50" t="str">
        <f ca="1">IFERROR(__xludf.DUMMYFUNCTION("""COMPUTED_VALUE"""),"CD54")</f>
        <v>CD54</v>
      </c>
      <c r="H38" s="50" t="str">
        <f ca="1">IFERROR(__xludf.DUMMYFUNCTION("""COMPUTED_VALUE"""),"inactivité 3ème année")</f>
        <v>inactivité 3ème année</v>
      </c>
    </row>
    <row r="39" spans="1:8" ht="12.75">
      <c r="A39" s="46">
        <f ca="1">IFERROR(__xludf.DUMMYFUNCTION("""COMPUTED_VALUE"""),27)</f>
        <v>27</v>
      </c>
      <c r="B39" s="65" t="str">
        <f ca="1">IFERROR(__xludf.DUMMYFUNCTION("""COMPUTED_VALUE"""),"5717736")</f>
        <v>5717736</v>
      </c>
      <c r="C39" s="48" t="str">
        <f ca="1">IFERROR(__xludf.DUMMYFUNCTION("""COMPUTED_VALUE"""),"BOBER")</f>
        <v>BOBER</v>
      </c>
      <c r="D39" s="48" t="str">
        <f ca="1">IFERROR(__xludf.DUMMYFUNCTION("""COMPUTED_VALUE"""),"Thierry")</f>
        <v>Thierry</v>
      </c>
      <c r="E39" s="49" t="str">
        <f ca="1">IFERROR(__xludf.DUMMYFUNCTION("""COMPUTED_VALUE"""),"06570093")</f>
        <v>06570093</v>
      </c>
      <c r="F39" s="48" t="str">
        <f ca="1">IFERROR(__xludf.DUMMYFUNCTION("""COMPUTED_VALUE"""),"SCHOENECK T.T.")</f>
        <v>SCHOENECK T.T.</v>
      </c>
      <c r="G39" s="50" t="str">
        <f ca="1">IFERROR(__xludf.DUMMYFUNCTION("""COMPUTED_VALUE"""),"CD57")</f>
        <v>CD57</v>
      </c>
      <c r="H39" s="50" t="str">
        <f ca="1">IFERROR(__xludf.DUMMYFUNCTION("""COMPUTED_VALUE"""),"inactivité 3ème année")</f>
        <v>inactivité 3ème année</v>
      </c>
    </row>
    <row r="40" spans="1:8" ht="12.75">
      <c r="A40" s="46">
        <f ca="1">IFERROR(__xludf.DUMMYFUNCTION("""COMPUTED_VALUE"""),28)</f>
        <v>28</v>
      </c>
      <c r="B40" s="65" t="str">
        <f ca="1">IFERROR(__xludf.DUMMYFUNCTION("""COMPUTED_VALUE"""),"6729622")</f>
        <v>6729622</v>
      </c>
      <c r="C40" s="48" t="str">
        <f ca="1">IFERROR(__xludf.DUMMYFUNCTION("""COMPUTED_VALUE"""),"BOEHRINGER")</f>
        <v>BOEHRINGER</v>
      </c>
      <c r="D40" s="48" t="str">
        <f ca="1">IFERROR(__xludf.DUMMYFUNCTION("""COMPUTED_VALUE"""),"Daniel")</f>
        <v>Daniel</v>
      </c>
      <c r="E40" s="49" t="str">
        <f ca="1">IFERROR(__xludf.DUMMYFUNCTION("""COMPUTED_VALUE"""),"06670201")</f>
        <v>06670201</v>
      </c>
      <c r="F40" s="48" t="str">
        <f ca="1">IFERROR(__xludf.DUMMYFUNCTION("""COMPUTED_VALUE"""),"ESCHAU CTT")</f>
        <v>ESCHAU CTT</v>
      </c>
      <c r="G40" s="50" t="str">
        <f ca="1">IFERROR(__xludf.DUMMYFUNCTION("""COMPUTED_VALUE"""),"CD67")</f>
        <v>CD67</v>
      </c>
      <c r="H40" s="50" t="str">
        <f ca="1">IFERROR(__xludf.DUMMYFUNCTION("""COMPUTED_VALUE"""),"inactivité 1ère année")</f>
        <v>inactivité 1ère année</v>
      </c>
    </row>
    <row r="41" spans="1:8" ht="12.75">
      <c r="A41" s="46">
        <f ca="1">IFERROR(__xludf.DUMMYFUNCTION("""COMPUTED_VALUE"""),29)</f>
        <v>29</v>
      </c>
      <c r="B41" s="65" t="str">
        <f ca="1">IFERROR(__xludf.DUMMYFUNCTION("""COMPUTED_VALUE"""),"5732480")</f>
        <v>5732480</v>
      </c>
      <c r="C41" s="48" t="str">
        <f ca="1">IFERROR(__xludf.DUMMYFUNCTION("""COMPUTED_VALUE"""),"BOIME")</f>
        <v>BOIME</v>
      </c>
      <c r="D41" s="48" t="str">
        <f ca="1">IFERROR(__xludf.DUMMYFUNCTION("""COMPUTED_VALUE"""),"Stephane")</f>
        <v>Stephane</v>
      </c>
      <c r="E41" s="49" t="str">
        <f ca="1">IFERROR(__xludf.DUMMYFUNCTION("""COMPUTED_VALUE"""),"06570201")</f>
        <v>06570201</v>
      </c>
      <c r="F41" s="48" t="str">
        <f ca="1">IFERROR(__xludf.DUMMYFUNCTION("""COMPUTED_VALUE"""),"SAINT JULIEN LES METZ TT")</f>
        <v>SAINT JULIEN LES METZ TT</v>
      </c>
      <c r="G41" s="50" t="str">
        <f ca="1">IFERROR(__xludf.DUMMYFUNCTION("""COMPUTED_VALUE"""),"CD57")</f>
        <v>CD57</v>
      </c>
      <c r="H41" s="50" t="str">
        <f ca="1">IFERROR(__xludf.DUMMYFUNCTION("""COMPUTED_VALUE"""),"inactivité 3ème année")</f>
        <v>inactivité 3ème année</v>
      </c>
    </row>
    <row r="42" spans="1:8" ht="12.75">
      <c r="A42" s="46">
        <f ca="1">IFERROR(__xludf.DUMMYFUNCTION("""COMPUTED_VALUE"""),30)</f>
        <v>30</v>
      </c>
      <c r="B42" s="65" t="str">
        <f ca="1">IFERROR(__xludf.DUMMYFUNCTION("""COMPUTED_VALUE"""),"882668")</f>
        <v>882668</v>
      </c>
      <c r="C42" s="48" t="str">
        <f ca="1">IFERROR(__xludf.DUMMYFUNCTION("""COMPUTED_VALUE"""),"BOLMONT")</f>
        <v>BOLMONT</v>
      </c>
      <c r="D42" s="48" t="str">
        <f ca="1">IFERROR(__xludf.DUMMYFUNCTION("""COMPUTED_VALUE"""),"Philippe")</f>
        <v>Philippe</v>
      </c>
      <c r="E42" s="49" t="str">
        <f ca="1">IFERROR(__xludf.DUMMYFUNCTION("""COMPUTED_VALUE"""),"06880021")</f>
        <v>06880021</v>
      </c>
      <c r="F42" s="48" t="str">
        <f ca="1">IFERROR(__xludf.DUMMYFUNCTION("""COMPUTED_VALUE"""),"BAINS LES BAINS AM.PONG.")</f>
        <v>BAINS LES BAINS AM.PONG.</v>
      </c>
      <c r="G42" s="50" t="str">
        <f ca="1">IFERROR(__xludf.DUMMYFUNCTION("""COMPUTED_VALUE"""),"CD88")</f>
        <v>CD88</v>
      </c>
      <c r="H42" s="50" t="str">
        <f ca="1">IFERROR(__xludf.DUMMYFUNCTION("""COMPUTED_VALUE"""),"inactivité 1ère année")</f>
        <v>inactivité 1ère année</v>
      </c>
    </row>
    <row r="43" spans="1:8" ht="12.75">
      <c r="A43" s="46">
        <f ca="1">IFERROR(__xludf.DUMMYFUNCTION("""COMPUTED_VALUE"""),31)</f>
        <v>31</v>
      </c>
      <c r="B43" s="65" t="str">
        <f ca="1">IFERROR(__xludf.DUMMYFUNCTION("""COMPUTED_VALUE"""),"6717680")</f>
        <v>6717680</v>
      </c>
      <c r="C43" s="48" t="str">
        <f ca="1">IFERROR(__xludf.DUMMYFUNCTION("""COMPUTED_VALUE"""),"BONI")</f>
        <v>BONI</v>
      </c>
      <c r="D43" s="48" t="str">
        <f ca="1">IFERROR(__xludf.DUMMYFUNCTION("""COMPUTED_VALUE"""),"Jacques")</f>
        <v>Jacques</v>
      </c>
      <c r="E43" s="49" t="str">
        <f ca="1">IFERROR(__xludf.DUMMYFUNCTION("""COMPUTED_VALUE"""),"06570111")</f>
        <v>06570111</v>
      </c>
      <c r="F43" s="48" t="str">
        <f ca="1">IFERROR(__xludf.DUMMYFUNCTION("""COMPUTED_VALUE"""),"SARREBOURG TT")</f>
        <v>SARREBOURG TT</v>
      </c>
      <c r="G43" s="50" t="str">
        <f ca="1">IFERROR(__xludf.DUMMYFUNCTION("""COMPUTED_VALUE"""),"CD57")</f>
        <v>CD57</v>
      </c>
      <c r="H43" s="50" t="str">
        <f ca="1">IFERROR(__xludf.DUMMYFUNCTION("""COMPUTED_VALUE"""),"actif")</f>
        <v>actif</v>
      </c>
    </row>
    <row r="44" spans="1:8" ht="12.75">
      <c r="A44" s="46">
        <f ca="1">IFERROR(__xludf.DUMMYFUNCTION("""COMPUTED_VALUE"""),32)</f>
        <v>32</v>
      </c>
      <c r="B44" s="65" t="str">
        <f ca="1">IFERROR(__xludf.DUMMYFUNCTION("""COMPUTED_VALUE"""),"5424523")</f>
        <v>5424523</v>
      </c>
      <c r="C44" s="48" t="str">
        <f ca="1">IFERROR(__xludf.DUMMYFUNCTION("""COMPUTED_VALUE"""),"BONNERAVE")</f>
        <v>BONNERAVE</v>
      </c>
      <c r="D44" s="48" t="str">
        <f ca="1">IFERROR(__xludf.DUMMYFUNCTION("""COMPUTED_VALUE"""),"Christophe")</f>
        <v>Christophe</v>
      </c>
      <c r="E44" s="49" t="str">
        <f ca="1">IFERROR(__xludf.DUMMYFUNCTION("""COMPUTED_VALUE"""),"06540104")</f>
        <v>06540104</v>
      </c>
      <c r="F44" s="48" t="str">
        <f ca="1">IFERROR(__xludf.DUMMYFUNCTION("""COMPUTED_VALUE"""),"AUDUN LE ROMAN ASTT")</f>
        <v>AUDUN LE ROMAN ASTT</v>
      </c>
      <c r="G44" s="50" t="str">
        <f ca="1">IFERROR(__xludf.DUMMYFUNCTION("""COMPUTED_VALUE"""),"CD54")</f>
        <v>CD54</v>
      </c>
      <c r="H44" s="50" t="str">
        <f ca="1">IFERROR(__xludf.DUMMYFUNCTION("""COMPUTED_VALUE"""),"inactivité 2ème année")</f>
        <v>inactivité 2ème année</v>
      </c>
    </row>
    <row r="45" spans="1:8" ht="12.75">
      <c r="A45" s="46">
        <f ca="1">IFERROR(__xludf.DUMMYFUNCTION("""COMPUTED_VALUE"""),33)</f>
        <v>33</v>
      </c>
      <c r="B45" s="65" t="str">
        <f ca="1">IFERROR(__xludf.DUMMYFUNCTION("""COMPUTED_VALUE"""),"689064")</f>
        <v>689064</v>
      </c>
      <c r="C45" s="48" t="str">
        <f ca="1">IFERROR(__xludf.DUMMYFUNCTION("""COMPUTED_VALUE"""),"BORDICHINI")</f>
        <v>BORDICHINI</v>
      </c>
      <c r="D45" s="48" t="str">
        <f ca="1">IFERROR(__xludf.DUMMYFUNCTION("""COMPUTED_VALUE"""),"Italo")</f>
        <v>Italo</v>
      </c>
      <c r="E45" s="49" t="str">
        <f ca="1">IFERROR(__xludf.DUMMYFUNCTION("""COMPUTED_VALUE"""),"06680128")</f>
        <v>06680128</v>
      </c>
      <c r="F45" s="48" t="str">
        <f ca="1">IFERROR(__xludf.DUMMYFUNCTION("""COMPUTED_VALUE"""),"BERGHEIM CSS")</f>
        <v>BERGHEIM CSS</v>
      </c>
      <c r="G45" s="50" t="str">
        <f ca="1">IFERROR(__xludf.DUMMYFUNCTION("""COMPUTED_VALUE"""),"CD68")</f>
        <v>CD68</v>
      </c>
      <c r="H45" s="50" t="str">
        <f ca="1">IFERROR(__xludf.DUMMYFUNCTION("""COMPUTED_VALUE"""),"actif")</f>
        <v>actif</v>
      </c>
    </row>
    <row r="46" spans="1:8" ht="12.75">
      <c r="A46" s="46">
        <f ca="1">IFERROR(__xludf.DUMMYFUNCTION("""COMPUTED_VALUE"""),34)</f>
        <v>34</v>
      </c>
      <c r="B46" s="65" t="str">
        <f ca="1">IFERROR(__xludf.DUMMYFUNCTION("""COMPUTED_VALUE"""),"572019")</f>
        <v>572019</v>
      </c>
      <c r="C46" s="48" t="str">
        <f ca="1">IFERROR(__xludf.DUMMYFUNCTION("""COMPUTED_VALUE"""),"BOUSENDORFER")</f>
        <v>BOUSENDORFER</v>
      </c>
      <c r="D46" s="48" t="str">
        <f ca="1">IFERROR(__xludf.DUMMYFUNCTION("""COMPUTED_VALUE"""),"Francois")</f>
        <v>Francois</v>
      </c>
      <c r="E46" s="49" t="str">
        <f ca="1">IFERROR(__xludf.DUMMYFUNCTION("""COMPUTED_VALUE"""),"06570060")</f>
        <v>06570060</v>
      </c>
      <c r="F46" s="48" t="str">
        <f ca="1">IFERROR(__xludf.DUMMYFUNCTION("""COMPUTED_VALUE"""),"MORSBACH Sarre et Moselle ASTT")</f>
        <v>MORSBACH Sarre et Moselle ASTT</v>
      </c>
      <c r="G46" s="50" t="str">
        <f ca="1">IFERROR(__xludf.DUMMYFUNCTION("""COMPUTED_VALUE"""),"CD57")</f>
        <v>CD57</v>
      </c>
      <c r="H46" s="50" t="str">
        <f ca="1">IFERROR(__xludf.DUMMYFUNCTION("""COMPUTED_VALUE"""),"actif")</f>
        <v>actif</v>
      </c>
    </row>
    <row r="47" spans="1:8" ht="12.75">
      <c r="A47" s="46">
        <f ca="1">IFERROR(__xludf.DUMMYFUNCTION("""COMPUTED_VALUE"""),35)</f>
        <v>35</v>
      </c>
      <c r="B47" s="65" t="str">
        <f ca="1">IFERROR(__xludf.DUMMYFUNCTION("""COMPUTED_VALUE"""),"544760")</f>
        <v>544760</v>
      </c>
      <c r="C47" s="48" t="str">
        <f ca="1">IFERROR(__xludf.DUMMYFUNCTION("""COMPUTED_VALUE"""),"BRASSEUR")</f>
        <v>BRASSEUR</v>
      </c>
      <c r="D47" s="48" t="str">
        <f ca="1">IFERROR(__xludf.DUMMYFUNCTION("""COMPUTED_VALUE"""),"Cedric")</f>
        <v>Cedric</v>
      </c>
      <c r="E47" s="49" t="str">
        <f ca="1">IFERROR(__xludf.DUMMYFUNCTION("""COMPUTED_VALUE"""),"06540021")</f>
        <v>06540021</v>
      </c>
      <c r="F47" s="48" t="str">
        <f ca="1">IFERROR(__xludf.DUMMYFUNCTION("""COMPUTED_VALUE"""),"LUNEVILLE A.L.T.T.")</f>
        <v>LUNEVILLE A.L.T.T.</v>
      </c>
      <c r="G47" s="50" t="str">
        <f ca="1">IFERROR(__xludf.DUMMYFUNCTION("""COMPUTED_VALUE"""),"CD54")</f>
        <v>CD54</v>
      </c>
      <c r="H47" s="50" t="str">
        <f ca="1">IFERROR(__xludf.DUMMYFUNCTION("""COMPUTED_VALUE"""),"inactivité 3ème année")</f>
        <v>inactivité 3ème année</v>
      </c>
    </row>
    <row r="48" spans="1:8" ht="12.75">
      <c r="A48" s="46">
        <f ca="1">IFERROR(__xludf.DUMMYFUNCTION("""COMPUTED_VALUE"""),36)</f>
        <v>36</v>
      </c>
      <c r="B48" s="65" t="str">
        <f ca="1">IFERROR(__xludf.DUMMYFUNCTION("""COMPUTED_VALUE"""),"88792")</f>
        <v>88792</v>
      </c>
      <c r="C48" s="48" t="str">
        <f ca="1">IFERROR(__xludf.DUMMYFUNCTION("""COMPUTED_VALUE"""),"BREJOT")</f>
        <v>BREJOT</v>
      </c>
      <c r="D48" s="48" t="str">
        <f ca="1">IFERROR(__xludf.DUMMYFUNCTION("""COMPUTED_VALUE"""),"Georges")</f>
        <v>Georges</v>
      </c>
      <c r="E48" s="49" t="str">
        <f ca="1">IFERROR(__xludf.DUMMYFUNCTION("""COMPUTED_VALUE"""),"06880060")</f>
        <v>06880060</v>
      </c>
      <c r="F48" s="48" t="str">
        <f ca="1">IFERROR(__xludf.DUMMYFUNCTION("""COMPUTED_VALUE"""),"LA BRESSE T.T.")</f>
        <v>LA BRESSE T.T.</v>
      </c>
      <c r="G48" s="50" t="str">
        <f ca="1">IFERROR(__xludf.DUMMYFUNCTION("""COMPUTED_VALUE"""),"CD88")</f>
        <v>CD88</v>
      </c>
      <c r="H48" s="50" t="str">
        <f ca="1">IFERROR(__xludf.DUMMYFUNCTION("""COMPUTED_VALUE"""),"inactivité 2ème année")</f>
        <v>inactivité 2ème année</v>
      </c>
    </row>
    <row r="49" spans="1:8" ht="12.75">
      <c r="A49" s="46">
        <f ca="1">IFERROR(__xludf.DUMMYFUNCTION("""COMPUTED_VALUE"""),37)</f>
        <v>37</v>
      </c>
      <c r="B49" s="65" t="str">
        <f ca="1">IFERROR(__xludf.DUMMYFUNCTION("""COMPUTED_VALUE"""),"5722018")</f>
        <v>5722018</v>
      </c>
      <c r="C49" s="48" t="str">
        <f ca="1">IFERROR(__xludf.DUMMYFUNCTION("""COMPUTED_VALUE"""),"BREVETTI")</f>
        <v>BREVETTI</v>
      </c>
      <c r="D49" s="48" t="str">
        <f ca="1">IFERROR(__xludf.DUMMYFUNCTION("""COMPUTED_VALUE"""),"Francesco")</f>
        <v>Francesco</v>
      </c>
      <c r="E49" s="49" t="str">
        <f ca="1">IFERROR(__xludf.DUMMYFUNCTION("""COMPUTED_VALUE"""),"06570005")</f>
        <v>06570005</v>
      </c>
      <c r="F49" s="48" t="str">
        <f ca="1">IFERROR(__xludf.DUMMYFUNCTION("""COMPUTED_VALUE"""),"FAULQUEMONT E.S.C.")</f>
        <v>FAULQUEMONT E.S.C.</v>
      </c>
      <c r="G49" s="50" t="str">
        <f ca="1">IFERROR(__xludf.DUMMYFUNCTION("""COMPUTED_VALUE"""),"CD57")</f>
        <v>CD57</v>
      </c>
      <c r="H49" s="50" t="str">
        <f ca="1">IFERROR(__xludf.DUMMYFUNCTION("""COMPUTED_VALUE"""),"inactivité 1ère année")</f>
        <v>inactivité 1ère année</v>
      </c>
    </row>
    <row r="50" spans="1:8" ht="12.75">
      <c r="A50" s="46">
        <f ca="1">IFERROR(__xludf.DUMMYFUNCTION("""COMPUTED_VALUE"""),38)</f>
        <v>38</v>
      </c>
      <c r="B50" s="65" t="str">
        <f ca="1">IFERROR(__xludf.DUMMYFUNCTION("""COMPUTED_VALUE"""),"8813479")</f>
        <v>8813479</v>
      </c>
      <c r="C50" s="48" t="str">
        <f ca="1">IFERROR(__xludf.DUMMYFUNCTION("""COMPUTED_VALUE"""),"BRIOT")</f>
        <v>BRIOT</v>
      </c>
      <c r="D50" s="48" t="str">
        <f ca="1">IFERROR(__xludf.DUMMYFUNCTION("""COMPUTED_VALUE"""),"Nadine")</f>
        <v>Nadine</v>
      </c>
      <c r="E50" s="49" t="str">
        <f ca="1">IFERROR(__xludf.DUMMYFUNCTION("""COMPUTED_VALUE"""),"06880086")</f>
        <v>06880086</v>
      </c>
      <c r="F50" s="48" t="str">
        <f ca="1">IFERROR(__xludf.DUMMYFUNCTION("""COMPUTED_VALUE"""),"MOYENMOUTIER VRTT")</f>
        <v>MOYENMOUTIER VRTT</v>
      </c>
      <c r="G50" s="50" t="str">
        <f ca="1">IFERROR(__xludf.DUMMYFUNCTION("""COMPUTED_VALUE"""),"CD88")</f>
        <v>CD88</v>
      </c>
      <c r="H50" s="50" t="str">
        <f ca="1">IFERROR(__xludf.DUMMYFUNCTION("""COMPUTED_VALUE"""),"inactivité 3ème année")</f>
        <v>inactivité 3ème année</v>
      </c>
    </row>
    <row r="51" spans="1:8" ht="12.75">
      <c r="A51" s="46">
        <f ca="1">IFERROR(__xludf.DUMMYFUNCTION("""COMPUTED_VALUE"""),39)</f>
        <v>39</v>
      </c>
      <c r="B51" s="65" t="str">
        <f ca="1">IFERROR(__xludf.DUMMYFUNCTION("""COMPUTED_VALUE"""),"5719641")</f>
        <v>5719641</v>
      </c>
      <c r="C51" s="48" t="str">
        <f ca="1">IFERROR(__xludf.DUMMYFUNCTION("""COMPUTED_VALUE"""),"BUZEAU")</f>
        <v>BUZEAU</v>
      </c>
      <c r="D51" s="48" t="str">
        <f ca="1">IFERROR(__xludf.DUMMYFUNCTION("""COMPUTED_VALUE"""),"Dylan")</f>
        <v>Dylan</v>
      </c>
      <c r="E51" s="49" t="str">
        <f ca="1">IFERROR(__xludf.DUMMYFUNCTION("""COMPUTED_VALUE"""),"06570073")</f>
        <v>06570073</v>
      </c>
      <c r="F51" s="48" t="str">
        <f ca="1">IFERROR(__xludf.DUMMYFUNCTION("""COMPUTED_VALUE"""),"TERVILLE Tennis de Table")</f>
        <v>TERVILLE Tennis de Table</v>
      </c>
      <c r="G51" s="50" t="str">
        <f ca="1">IFERROR(__xludf.DUMMYFUNCTION("""COMPUTED_VALUE"""),"CD57")</f>
        <v>CD57</v>
      </c>
      <c r="H51" s="50" t="str">
        <f ca="1">IFERROR(__xludf.DUMMYFUNCTION("""COMPUTED_VALUE"""),"actif")</f>
        <v>actif</v>
      </c>
    </row>
    <row r="52" spans="1:8" ht="12.75">
      <c r="A52" s="46">
        <f ca="1">IFERROR(__xludf.DUMMYFUNCTION("""COMPUTED_VALUE"""),40)</f>
        <v>40</v>
      </c>
      <c r="B52" s="65" t="str">
        <f ca="1">IFERROR(__xludf.DUMMYFUNCTION("""COMPUTED_VALUE"""),"5737902")</f>
        <v>5737902</v>
      </c>
      <c r="C52" s="48" t="str">
        <f ca="1">IFERROR(__xludf.DUMMYFUNCTION("""COMPUTED_VALUE"""),"CARLETTI")</f>
        <v>CARLETTI</v>
      </c>
      <c r="D52" s="48" t="str">
        <f ca="1">IFERROR(__xludf.DUMMYFUNCTION("""COMPUTED_VALUE"""),"Maud")</f>
        <v>Maud</v>
      </c>
      <c r="E52" s="49" t="str">
        <f ca="1">IFERROR(__xludf.DUMMYFUNCTION("""COMPUTED_VALUE"""),"06570073")</f>
        <v>06570073</v>
      </c>
      <c r="F52" s="48" t="str">
        <f ca="1">IFERROR(__xludf.DUMMYFUNCTION("""COMPUTED_VALUE"""),"TERVILLE Tennis de Table")</f>
        <v>TERVILLE Tennis de Table</v>
      </c>
      <c r="G52" s="50" t="str">
        <f ca="1">IFERROR(__xludf.DUMMYFUNCTION("""COMPUTED_VALUE"""),"CD57")</f>
        <v>CD57</v>
      </c>
      <c r="H52" s="50" t="str">
        <f ca="1">IFERROR(__xludf.DUMMYFUNCTION("""COMPUTED_VALUE"""),"actif")</f>
        <v>actif</v>
      </c>
    </row>
    <row r="53" spans="1:8" ht="12.75">
      <c r="A53" s="46">
        <f ca="1">IFERROR(__xludf.DUMMYFUNCTION("""COMPUTED_VALUE"""),41)</f>
        <v>41</v>
      </c>
      <c r="B53" s="65" t="str">
        <f ca="1">IFERROR(__xludf.DUMMYFUNCTION("""COMPUTED_VALUE"""),"523340")</f>
        <v>523340</v>
      </c>
      <c r="C53" s="48" t="str">
        <f ca="1">IFERROR(__xludf.DUMMYFUNCTION("""COMPUTED_VALUE"""),"CARLOT")</f>
        <v>CARLOT</v>
      </c>
      <c r="D53" s="48" t="str">
        <f ca="1">IFERROR(__xludf.DUMMYFUNCTION("""COMPUTED_VALUE"""),"Matthieu")</f>
        <v>Matthieu</v>
      </c>
      <c r="E53" s="49" t="str">
        <f ca="1">IFERROR(__xludf.DUMMYFUNCTION("""COMPUTED_VALUE"""),"06520003")</f>
        <v>06520003</v>
      </c>
      <c r="F53" s="48" t="str">
        <f ca="1">IFERROR(__xludf.DUMMYFUNCTION("""COMPUTED_VALUE"""),"EURVILLE BIENVILLE Jeunes")</f>
        <v>EURVILLE BIENVILLE Jeunes</v>
      </c>
      <c r="G53" s="50" t="str">
        <f ca="1">IFERROR(__xludf.DUMMYFUNCTION("""COMPUTED_VALUE"""),"CD52")</f>
        <v>CD52</v>
      </c>
      <c r="H53" s="50" t="str">
        <f ca="1">IFERROR(__xludf.DUMMYFUNCTION("""COMPUTED_VALUE"""),"inactivité 3ème année")</f>
        <v>inactivité 3ème année</v>
      </c>
    </row>
    <row r="54" spans="1:8" ht="12.75">
      <c r="A54" s="46">
        <f ca="1">IFERROR(__xludf.DUMMYFUNCTION("""COMPUTED_VALUE"""),42)</f>
        <v>42</v>
      </c>
      <c r="B54" s="65" t="str">
        <f ca="1">IFERROR(__xludf.DUMMYFUNCTION("""COMPUTED_VALUE"""),"5111984")</f>
        <v>5111984</v>
      </c>
      <c r="C54" s="48" t="str">
        <f ca="1">IFERROR(__xludf.DUMMYFUNCTION("""COMPUTED_VALUE"""),"CARRE")</f>
        <v>CARRE</v>
      </c>
      <c r="D54" s="48" t="str">
        <f ca="1">IFERROR(__xludf.DUMMYFUNCTION("""COMPUTED_VALUE"""),"Christophe")</f>
        <v>Christophe</v>
      </c>
      <c r="E54" s="49" t="str">
        <f ca="1">IFERROR(__xludf.DUMMYFUNCTION("""COMPUTED_VALUE"""),"06510018")</f>
        <v>06510018</v>
      </c>
      <c r="F54" s="48" t="str">
        <f ca="1">IFERROR(__xludf.DUMMYFUNCTION("""COMPUTED_VALUE"""),"REIMS ASPTT")</f>
        <v>REIMS ASPTT</v>
      </c>
      <c r="G54" s="50" t="str">
        <f ca="1">IFERROR(__xludf.DUMMYFUNCTION("""COMPUTED_VALUE"""),"CD51")</f>
        <v>CD51</v>
      </c>
      <c r="H54" s="50" t="str">
        <f ca="1">IFERROR(__xludf.DUMMYFUNCTION("""COMPUTED_VALUE"""),"inactivité 1ère année")</f>
        <v>inactivité 1ère année</v>
      </c>
    </row>
    <row r="55" spans="1:8" ht="12.75">
      <c r="A55" s="46">
        <f ca="1">IFERROR(__xludf.DUMMYFUNCTION("""COMPUTED_VALUE"""),43)</f>
        <v>43</v>
      </c>
      <c r="B55" s="65" t="str">
        <f ca="1">IFERROR(__xludf.DUMMYFUNCTION("""COMPUTED_VALUE"""),"544540")</f>
        <v>544540</v>
      </c>
      <c r="C55" s="48" t="str">
        <f ca="1">IFERROR(__xludf.DUMMYFUNCTION("""COMPUTED_VALUE"""),"CARRION")</f>
        <v>CARRION</v>
      </c>
      <c r="D55" s="48" t="str">
        <f ca="1">IFERROR(__xludf.DUMMYFUNCTION("""COMPUTED_VALUE"""),"Dominique")</f>
        <v>Dominique</v>
      </c>
      <c r="E55" s="49" t="str">
        <f ca="1">IFERROR(__xludf.DUMMYFUNCTION("""COMPUTED_VALUE"""),"06540128")</f>
        <v>06540128</v>
      </c>
      <c r="F55" s="48" t="str">
        <f ca="1">IFERROR(__xludf.DUMMYFUNCTION("""COMPUTED_VALUE"""),"PONT A MOUSSON A.S.T.T.")</f>
        <v>PONT A MOUSSON A.S.T.T.</v>
      </c>
      <c r="G55" s="50" t="str">
        <f ca="1">IFERROR(__xludf.DUMMYFUNCTION("""COMPUTED_VALUE"""),"CD54")</f>
        <v>CD54</v>
      </c>
      <c r="H55" s="50" t="str">
        <f ca="1">IFERROR(__xludf.DUMMYFUNCTION("""COMPUTED_VALUE"""),"actif")</f>
        <v>actif</v>
      </c>
    </row>
    <row r="56" spans="1:8" ht="12.75">
      <c r="A56" s="46">
        <f ca="1">IFERROR(__xludf.DUMMYFUNCTION("""COMPUTED_VALUE"""),44)</f>
        <v>44</v>
      </c>
      <c r="B56" s="65" t="str">
        <f ca="1">IFERROR(__xludf.DUMMYFUNCTION("""COMPUTED_VALUE"""),"105826")</f>
        <v>105826</v>
      </c>
      <c r="C56" s="48" t="str">
        <f ca="1">IFERROR(__xludf.DUMMYFUNCTION("""COMPUTED_VALUE"""),"CHAMPION")</f>
        <v>CHAMPION</v>
      </c>
      <c r="D56" s="48" t="str">
        <f ca="1">IFERROR(__xludf.DUMMYFUNCTION("""COMPUTED_VALUE"""),"Jocelyn")</f>
        <v>Jocelyn</v>
      </c>
      <c r="E56" s="49" t="str">
        <f ca="1">IFERROR(__xludf.DUMMYFUNCTION("""COMPUTED_VALUE"""),"06100007")</f>
        <v>06100007</v>
      </c>
      <c r="F56" s="48" t="str">
        <f ca="1">IFERROR(__xludf.DUMMYFUNCTION("""COMPUTED_VALUE"""),"ST PARRES AUX TERTRES AST")</f>
        <v>ST PARRES AUX TERTRES AST</v>
      </c>
      <c r="G56" s="50" t="str">
        <f ca="1">IFERROR(__xludf.DUMMYFUNCTION("""COMPUTED_VALUE"""),"CD10")</f>
        <v>CD10</v>
      </c>
      <c r="H56" s="50" t="str">
        <f ca="1">IFERROR(__xludf.DUMMYFUNCTION("""COMPUTED_VALUE"""),"inactivité 1ère année")</f>
        <v>inactivité 1ère année</v>
      </c>
    </row>
    <row r="57" spans="1:8" ht="12.75">
      <c r="A57" s="46">
        <f ca="1">IFERROR(__xludf.DUMMYFUNCTION("""COMPUTED_VALUE"""),45)</f>
        <v>45</v>
      </c>
      <c r="B57" s="65" t="str">
        <f ca="1">IFERROR(__xludf.DUMMYFUNCTION("""COMPUTED_VALUE"""),"0812759")</f>
        <v>0812759</v>
      </c>
      <c r="C57" s="48" t="str">
        <f ca="1">IFERROR(__xludf.DUMMYFUNCTION("""COMPUTED_VALUE"""),"CHANZY")</f>
        <v>CHANZY</v>
      </c>
      <c r="D57" s="48" t="str">
        <f ca="1">IFERROR(__xludf.DUMMYFUNCTION("""COMPUTED_VALUE"""),"Julien")</f>
        <v>Julien</v>
      </c>
      <c r="E57" s="49" t="str">
        <f ca="1">IFERROR(__xludf.DUMMYFUNCTION("""COMPUTED_VALUE"""),"06080013")</f>
        <v>06080013</v>
      </c>
      <c r="F57" s="48" t="str">
        <f ca="1">IFERROR(__xludf.DUMMYFUNCTION("""COMPUTED_VALUE"""),"TAGNON PPC")</f>
        <v>TAGNON PPC</v>
      </c>
      <c r="G57" s="50" t="str">
        <f ca="1">IFERROR(__xludf.DUMMYFUNCTION("""COMPUTED_VALUE"""),"CD08")</f>
        <v>CD08</v>
      </c>
      <c r="H57" s="50" t="str">
        <f ca="1">IFERROR(__xludf.DUMMYFUNCTION("""COMPUTED_VALUE"""),"inactivité 2ème année")</f>
        <v>inactivité 2ème année</v>
      </c>
    </row>
    <row r="58" spans="1:8" ht="12.75">
      <c r="A58" s="46">
        <f ca="1">IFERROR(__xludf.DUMMYFUNCTION("""COMPUTED_VALUE"""),46)</f>
        <v>46</v>
      </c>
      <c r="B58" s="65" t="str">
        <f ca="1">IFERROR(__xludf.DUMMYFUNCTION("""COMPUTED_VALUE"""),"557539")</f>
        <v>557539</v>
      </c>
      <c r="C58" s="48" t="str">
        <f ca="1">IFERROR(__xludf.DUMMYFUNCTION("""COMPUTED_VALUE"""),"CHARPIN")</f>
        <v>CHARPIN</v>
      </c>
      <c r="D58" s="48" t="str">
        <f ca="1">IFERROR(__xludf.DUMMYFUNCTION("""COMPUTED_VALUE"""),"Theo")</f>
        <v>Theo</v>
      </c>
      <c r="E58" s="49" t="str">
        <f ca="1">IFERROR(__xludf.DUMMYFUNCTION("""COMPUTED_VALUE"""),"06550005")</f>
        <v>06550005</v>
      </c>
      <c r="F58" s="48" t="str">
        <f ca="1">IFERROR(__xludf.DUMMYFUNCTION("""COMPUTED_VALUE"""),"SAINT MIHIEL P.P.C.")</f>
        <v>SAINT MIHIEL P.P.C.</v>
      </c>
      <c r="G58" s="50" t="str">
        <f ca="1">IFERROR(__xludf.DUMMYFUNCTION("""COMPUTED_VALUE"""),"CD55")</f>
        <v>CD55</v>
      </c>
      <c r="H58" s="50" t="str">
        <f ca="1">IFERROR(__xludf.DUMMYFUNCTION("""COMPUTED_VALUE"""),"inactivité 1ère année")</f>
        <v>inactivité 1ère année</v>
      </c>
    </row>
    <row r="59" spans="1:8" ht="12.75">
      <c r="A59" s="46">
        <f ca="1">IFERROR(__xludf.DUMMYFUNCTION("""COMPUTED_VALUE"""),47)</f>
        <v>47</v>
      </c>
      <c r="B59" s="65" t="str">
        <f ca="1">IFERROR(__xludf.DUMMYFUNCTION("""COMPUTED_VALUE"""),"8816452")</f>
        <v>8816452</v>
      </c>
      <c r="C59" s="48" t="str">
        <f ca="1">IFERROR(__xludf.DUMMYFUNCTION("""COMPUTED_VALUE"""),"CHARRIER")</f>
        <v>CHARRIER</v>
      </c>
      <c r="D59" s="48" t="str">
        <f ca="1">IFERROR(__xludf.DUMMYFUNCTION("""COMPUTED_VALUE"""),"Thierry")</f>
        <v>Thierry</v>
      </c>
      <c r="E59" s="49" t="str">
        <f ca="1">IFERROR(__xludf.DUMMYFUNCTION("""COMPUTED_VALUE"""),"06880002")</f>
        <v>06880002</v>
      </c>
      <c r="F59" s="48" t="str">
        <f ca="1">IFERROR(__xludf.DUMMYFUNCTION("""COMPUTED_VALUE"""),"ANOULD Cercle Pongiste")</f>
        <v>ANOULD Cercle Pongiste</v>
      </c>
      <c r="G59" s="50" t="str">
        <f ca="1">IFERROR(__xludf.DUMMYFUNCTION("""COMPUTED_VALUE"""),"CD88")</f>
        <v>CD88</v>
      </c>
      <c r="H59" s="50" t="str">
        <f ca="1">IFERROR(__xludf.DUMMYFUNCTION("""COMPUTED_VALUE"""),"inactivité 1ère année")</f>
        <v>inactivité 1ère année</v>
      </c>
    </row>
    <row r="60" spans="1:8" ht="12.75">
      <c r="A60" s="46">
        <f ca="1">IFERROR(__xludf.DUMMYFUNCTION("""COMPUTED_VALUE"""),48)</f>
        <v>48</v>
      </c>
      <c r="B60" s="65" t="str">
        <f ca="1">IFERROR(__xludf.DUMMYFUNCTION("""COMPUTED_VALUE"""),"8814913")</f>
        <v>8814913</v>
      </c>
      <c r="C60" s="48" t="str">
        <f ca="1">IFERROR(__xludf.DUMMYFUNCTION("""COMPUTED_VALUE"""),"CHRISTAL")</f>
        <v>CHRISTAL</v>
      </c>
      <c r="D60" s="48" t="str">
        <f ca="1">IFERROR(__xludf.DUMMYFUNCTION("""COMPUTED_VALUE"""),"Adryan")</f>
        <v>Adryan</v>
      </c>
      <c r="E60" s="49" t="str">
        <f ca="1">IFERROR(__xludf.DUMMYFUNCTION("""COMPUTED_VALUE"""),"06540088")</f>
        <v>06540088</v>
      </c>
      <c r="F60" s="48" t="str">
        <f ca="1">IFERROR(__xludf.DUMMYFUNCTION("""COMPUTED_VALUE"""),"CHANTEHEUX TT")</f>
        <v>CHANTEHEUX TT</v>
      </c>
      <c r="G60" s="50" t="str">
        <f ca="1">IFERROR(__xludf.DUMMYFUNCTION("""COMPUTED_VALUE"""),"CD54")</f>
        <v>CD54</v>
      </c>
      <c r="H60" s="50" t="str">
        <f ca="1">IFERROR(__xludf.DUMMYFUNCTION("""COMPUTED_VALUE"""),"inactivité 1ère année")</f>
        <v>inactivité 1ère année</v>
      </c>
    </row>
    <row r="61" spans="1:8" ht="12.75">
      <c r="A61" s="46">
        <f ca="1">IFERROR(__xludf.DUMMYFUNCTION("""COMPUTED_VALUE"""),49)</f>
        <v>49</v>
      </c>
      <c r="B61" s="65" t="str">
        <f ca="1">IFERROR(__xludf.DUMMYFUNCTION("""COMPUTED_VALUE"""),"106927")</f>
        <v>106927</v>
      </c>
      <c r="C61" s="48" t="str">
        <f ca="1">IFERROR(__xludf.DUMMYFUNCTION("""COMPUTED_VALUE"""),"CLEMENTINE")</f>
        <v>CLEMENTINE</v>
      </c>
      <c r="D61" s="48" t="str">
        <f ca="1">IFERROR(__xludf.DUMMYFUNCTION("""COMPUTED_VALUE"""),"Ludovic")</f>
        <v>Ludovic</v>
      </c>
      <c r="E61" s="49" t="str">
        <f ca="1">IFERROR(__xludf.DUMMYFUNCTION("""COMPUTED_VALUE"""),"06100016")</f>
        <v>06100016</v>
      </c>
      <c r="F61" s="48" t="str">
        <f ca="1">IFERROR(__xludf.DUMMYFUNCTION("""COMPUTED_VALUE"""),"BAR SUR SEINE FJ")</f>
        <v>BAR SUR SEINE FJ</v>
      </c>
      <c r="G61" s="50" t="str">
        <f ca="1">IFERROR(__xludf.DUMMYFUNCTION("""COMPUTED_VALUE"""),"CD10")</f>
        <v>CD10</v>
      </c>
      <c r="H61" s="50" t="str">
        <f ca="1">IFERROR(__xludf.DUMMYFUNCTION("""COMPUTED_VALUE"""),"inactivité 2ème année")</f>
        <v>inactivité 2ème année</v>
      </c>
    </row>
    <row r="62" spans="1:8" ht="12.75">
      <c r="A62" s="46">
        <f ca="1">IFERROR(__xludf.DUMMYFUNCTION("""COMPUTED_VALUE"""),50)</f>
        <v>50</v>
      </c>
      <c r="B62" s="65" t="str">
        <f ca="1">IFERROR(__xludf.DUMMYFUNCTION("""COMPUTED_VALUE"""),"104628")</f>
        <v>104628</v>
      </c>
      <c r="C62" s="48" t="str">
        <f ca="1">IFERROR(__xludf.DUMMYFUNCTION("""COMPUTED_VALUE"""),"COK")</f>
        <v>COK</v>
      </c>
      <c r="D62" s="48" t="str">
        <f ca="1">IFERROR(__xludf.DUMMYFUNCTION("""COMPUTED_VALUE"""),"Judith")</f>
        <v>Judith</v>
      </c>
      <c r="E62" s="49" t="str">
        <f ca="1">IFERROR(__xludf.DUMMYFUNCTION("""COMPUTED_VALUE"""),"06100041")</f>
        <v>06100041</v>
      </c>
      <c r="F62" s="48" t="str">
        <f ca="1">IFERROR(__xludf.DUMMYFUNCTION("""COMPUTED_VALUE"""),"AIX EN OTHE SDTDT")</f>
        <v>AIX EN OTHE SDTDT</v>
      </c>
      <c r="G62" s="50" t="str">
        <f ca="1">IFERROR(__xludf.DUMMYFUNCTION("""COMPUTED_VALUE"""),"CD10")</f>
        <v>CD10</v>
      </c>
      <c r="H62" s="50" t="str">
        <f ca="1">IFERROR(__xludf.DUMMYFUNCTION("""COMPUTED_VALUE"""),"inactivité 3ème année")</f>
        <v>inactivité 3ème année</v>
      </c>
    </row>
    <row r="63" spans="1:8" ht="12.75">
      <c r="A63" s="46">
        <f ca="1">IFERROR(__xludf.DUMMYFUNCTION("""COMPUTED_VALUE"""),51)</f>
        <v>51</v>
      </c>
      <c r="B63" s="65" t="str">
        <f ca="1">IFERROR(__xludf.DUMMYFUNCTION("""COMPUTED_VALUE"""),"541746")</f>
        <v>541746</v>
      </c>
      <c r="C63" s="48" t="str">
        <f ca="1">IFERROR(__xludf.DUMMYFUNCTION("""COMPUTED_VALUE"""),"COLLIGNON")</f>
        <v>COLLIGNON</v>
      </c>
      <c r="D63" s="48" t="str">
        <f ca="1">IFERROR(__xludf.DUMMYFUNCTION("""COMPUTED_VALUE"""),"Gilles")</f>
        <v>Gilles</v>
      </c>
      <c r="E63" s="49" t="str">
        <f ca="1">IFERROR(__xludf.DUMMYFUNCTION("""COMPUTED_VALUE"""),"06540032")</f>
        <v>06540032</v>
      </c>
      <c r="F63" s="48" t="str">
        <f ca="1">IFERROR(__xludf.DUMMYFUNCTION("""COMPUTED_VALUE"""),"NEUVES MAISONS TT")</f>
        <v>NEUVES MAISONS TT</v>
      </c>
      <c r="G63" s="50" t="str">
        <f ca="1">IFERROR(__xludf.DUMMYFUNCTION("""COMPUTED_VALUE"""),"CD54")</f>
        <v>CD54</v>
      </c>
      <c r="H63" s="50" t="str">
        <f ca="1">IFERROR(__xludf.DUMMYFUNCTION("""COMPUTED_VALUE"""),"inactivité 1ère année")</f>
        <v>inactivité 1ère année</v>
      </c>
    </row>
    <row r="64" spans="1:8" ht="12.75">
      <c r="A64" s="46">
        <f ca="1">IFERROR(__xludf.DUMMYFUNCTION("""COMPUTED_VALUE"""),52)</f>
        <v>52</v>
      </c>
      <c r="B64" s="65" t="str">
        <f ca="1">IFERROR(__xludf.DUMMYFUNCTION("""COMPUTED_VALUE"""),"5428655")</f>
        <v>5428655</v>
      </c>
      <c r="C64" s="48" t="str">
        <f ca="1">IFERROR(__xludf.DUMMYFUNCTION("""COMPUTED_VALUE"""),"COLLOT")</f>
        <v>COLLOT</v>
      </c>
      <c r="D64" s="48" t="str">
        <f ca="1">IFERROR(__xludf.DUMMYFUNCTION("""COMPUTED_VALUE"""),"Laurent")</f>
        <v>Laurent</v>
      </c>
      <c r="E64" s="49" t="str">
        <f ca="1">IFERROR(__xludf.DUMMYFUNCTION("""COMPUTED_VALUE"""),"06540007")</f>
        <v>06540007</v>
      </c>
      <c r="F64" s="48" t="str">
        <f ca="1">IFERROR(__xludf.DUMMYFUNCTION("""COMPUTED_VALUE"""),"BRIEY U.S. Tennis de Table")</f>
        <v>BRIEY U.S. Tennis de Table</v>
      </c>
      <c r="G64" s="50" t="str">
        <f ca="1">IFERROR(__xludf.DUMMYFUNCTION("""COMPUTED_VALUE"""),"CD54")</f>
        <v>CD54</v>
      </c>
      <c r="H64" s="50" t="str">
        <f ca="1">IFERROR(__xludf.DUMMYFUNCTION("""COMPUTED_VALUE"""),"inactivité 1ère année")</f>
        <v>inactivité 1ère année</v>
      </c>
    </row>
    <row r="65" spans="1:8" ht="12.75">
      <c r="A65" s="46">
        <f ca="1">IFERROR(__xludf.DUMMYFUNCTION("""COMPUTED_VALUE"""),53)</f>
        <v>53</v>
      </c>
      <c r="B65" s="65" t="str">
        <f ca="1">IFERROR(__xludf.DUMMYFUNCTION("""COMPUTED_VALUE"""),"08717")</f>
        <v>08717</v>
      </c>
      <c r="C65" s="48" t="str">
        <f ca="1">IFERROR(__xludf.DUMMYFUNCTION("""COMPUTED_VALUE"""),"COMANDINI")</f>
        <v>COMANDINI</v>
      </c>
      <c r="D65" s="48" t="str">
        <f ca="1">IFERROR(__xludf.DUMMYFUNCTION("""COMPUTED_VALUE"""),"Alain")</f>
        <v>Alain</v>
      </c>
      <c r="E65" s="49" t="str">
        <f ca="1">IFERROR(__xludf.DUMMYFUNCTION("""COMPUTED_VALUE"""),"06080014")</f>
        <v>06080014</v>
      </c>
      <c r="F65" s="48" t="str">
        <f ca="1">IFERROR(__xludf.DUMMYFUNCTION("""COMPUTED_VALUE"""),"REVIN - HAYBOISE TT")</f>
        <v>REVIN - HAYBOISE TT</v>
      </c>
      <c r="G65" s="50" t="str">
        <f ca="1">IFERROR(__xludf.DUMMYFUNCTION("""COMPUTED_VALUE"""),"CD08")</f>
        <v>CD08</v>
      </c>
      <c r="H65" s="50" t="str">
        <f ca="1">IFERROR(__xludf.DUMMYFUNCTION("""COMPUTED_VALUE"""),"inactivité 3ème année")</f>
        <v>inactivité 3ème année</v>
      </c>
    </row>
    <row r="66" spans="1:8" ht="12.75">
      <c r="A66" s="46">
        <f ca="1">IFERROR(__xludf.DUMMYFUNCTION("""COMPUTED_VALUE"""),54)</f>
        <v>54</v>
      </c>
      <c r="B66" s="65" t="str">
        <f ca="1">IFERROR(__xludf.DUMMYFUNCTION("""COMPUTED_VALUE"""),"883457")</f>
        <v>883457</v>
      </c>
      <c r="C66" s="48" t="str">
        <f ca="1">IFERROR(__xludf.DUMMYFUNCTION("""COMPUTED_VALUE"""),"CONCETTI")</f>
        <v>CONCETTI</v>
      </c>
      <c r="D66" s="48" t="str">
        <f ca="1">IFERROR(__xludf.DUMMYFUNCTION("""COMPUTED_VALUE"""),"Antoine")</f>
        <v>Antoine</v>
      </c>
      <c r="E66" s="49" t="str">
        <f ca="1">IFERROR(__xludf.DUMMYFUNCTION("""COMPUTED_VALUE"""),"06880123")</f>
        <v>06880123</v>
      </c>
      <c r="F66" s="48" t="str">
        <f ca="1">IFERROR(__xludf.DUMMYFUNCTION("""COMPUTED_VALUE"""),"ETIVAL ASRTT")</f>
        <v>ETIVAL ASRTT</v>
      </c>
      <c r="G66" s="50" t="str">
        <f ca="1">IFERROR(__xludf.DUMMYFUNCTION("""COMPUTED_VALUE"""),"CD88")</f>
        <v>CD88</v>
      </c>
      <c r="H66" s="50" t="str">
        <f ca="1">IFERROR(__xludf.DUMMYFUNCTION("""COMPUTED_VALUE"""),"inactivité 1ère année")</f>
        <v>inactivité 1ère année</v>
      </c>
    </row>
    <row r="67" spans="1:8" ht="12.75">
      <c r="A67" s="46">
        <f ca="1">IFERROR(__xludf.DUMMYFUNCTION("""COMPUTED_VALUE"""),55)</f>
        <v>55</v>
      </c>
      <c r="B67" s="65" t="str">
        <f ca="1">IFERROR(__xludf.DUMMYFUNCTION("""COMPUTED_VALUE"""),"8818032")</f>
        <v>8818032</v>
      </c>
      <c r="C67" s="48" t="str">
        <f ca="1">IFERROR(__xludf.DUMMYFUNCTION("""COMPUTED_VALUE"""),"CONREAUX")</f>
        <v>CONREAUX</v>
      </c>
      <c r="D67" s="48" t="str">
        <f ca="1">IFERROR(__xludf.DUMMYFUNCTION("""COMPUTED_VALUE"""),"Sebastien")</f>
        <v>Sebastien</v>
      </c>
      <c r="E67" s="49" t="str">
        <f ca="1">IFERROR(__xludf.DUMMYFUNCTION("""COMPUTED_VALUE"""),"06880002")</f>
        <v>06880002</v>
      </c>
      <c r="F67" s="48" t="str">
        <f ca="1">IFERROR(__xludf.DUMMYFUNCTION("""COMPUTED_VALUE"""),"ANOULD Cercle Pongiste")</f>
        <v>ANOULD Cercle Pongiste</v>
      </c>
      <c r="G67" s="50" t="str">
        <f ca="1">IFERROR(__xludf.DUMMYFUNCTION("""COMPUTED_VALUE"""),"CD88")</f>
        <v>CD88</v>
      </c>
      <c r="H67" s="50" t="str">
        <f ca="1">IFERROR(__xludf.DUMMYFUNCTION("""COMPUTED_VALUE"""),"inactivité 3ème année")</f>
        <v>inactivité 3ème année</v>
      </c>
    </row>
    <row r="68" spans="1:8" ht="12.75">
      <c r="A68" s="46">
        <f ca="1">IFERROR(__xludf.DUMMYFUNCTION("""COMPUTED_VALUE"""),56)</f>
        <v>56</v>
      </c>
      <c r="B68" s="65" t="str">
        <f ca="1">IFERROR(__xludf.DUMMYFUNCTION("""COMPUTED_VALUE"""),"5726070")</f>
        <v>5726070</v>
      </c>
      <c r="C68" s="48" t="str">
        <f ca="1">IFERROR(__xludf.DUMMYFUNCTION("""COMPUTED_VALUE"""),"CONSTANTIN")</f>
        <v>CONSTANTIN</v>
      </c>
      <c r="D68" s="48" t="str">
        <f ca="1">IFERROR(__xludf.DUMMYFUNCTION("""COMPUTED_VALUE"""),"Joshua")</f>
        <v>Joshua</v>
      </c>
      <c r="E68" s="49" t="str">
        <f ca="1">IFERROR(__xludf.DUMMYFUNCTION("""COMPUTED_VALUE"""),"06570073")</f>
        <v>06570073</v>
      </c>
      <c r="F68" s="48" t="str">
        <f ca="1">IFERROR(__xludf.DUMMYFUNCTION("""COMPUTED_VALUE"""),"TERVILLE Tennis de Table")</f>
        <v>TERVILLE Tennis de Table</v>
      </c>
      <c r="G68" s="50" t="str">
        <f ca="1">IFERROR(__xludf.DUMMYFUNCTION("""COMPUTED_VALUE"""),"CD57")</f>
        <v>CD57</v>
      </c>
      <c r="H68" s="50" t="str">
        <f ca="1">IFERROR(__xludf.DUMMYFUNCTION("""COMPUTED_VALUE"""),"actif")</f>
        <v>actif</v>
      </c>
    </row>
    <row r="69" spans="1:8" ht="12.75">
      <c r="A69" s="46">
        <f ca="1">IFERROR(__xludf.DUMMYFUNCTION("""COMPUTED_VALUE"""),57)</f>
        <v>57</v>
      </c>
      <c r="B69" s="65" t="str">
        <f ca="1">IFERROR(__xludf.DUMMYFUNCTION("""COMPUTED_VALUE"""),"5714038")</f>
        <v>5714038</v>
      </c>
      <c r="C69" s="48" t="str">
        <f ca="1">IFERROR(__xludf.DUMMYFUNCTION("""COMPUTED_VALUE"""),"CONWENTZ")</f>
        <v>CONWENTZ</v>
      </c>
      <c r="D69" s="48" t="str">
        <f ca="1">IFERROR(__xludf.DUMMYFUNCTION("""COMPUTED_VALUE"""),"Gilles")</f>
        <v>Gilles</v>
      </c>
      <c r="E69" s="49" t="str">
        <f ca="1">IFERROR(__xludf.DUMMYFUNCTION("""COMPUTED_VALUE"""),"06570024")</f>
        <v>06570024</v>
      </c>
      <c r="F69" s="48" t="str">
        <f ca="1">IFERROR(__xludf.DUMMYFUNCTION("""COMPUTED_VALUE"""),"THIONVILLE Tennis de Table")</f>
        <v>THIONVILLE Tennis de Table</v>
      </c>
      <c r="G69" s="50" t="str">
        <f ca="1">IFERROR(__xludf.DUMMYFUNCTION("""COMPUTED_VALUE"""),"CD57")</f>
        <v>CD57</v>
      </c>
      <c r="H69" s="50" t="str">
        <f ca="1">IFERROR(__xludf.DUMMYFUNCTION("""COMPUTED_VALUE"""),"inactivité 2ème année")</f>
        <v>inactivité 2ème année</v>
      </c>
    </row>
    <row r="70" spans="1:8" ht="12.75">
      <c r="A70" s="46">
        <f ca="1">IFERROR(__xludf.DUMMYFUNCTION("""COMPUTED_VALUE"""),58)</f>
        <v>58</v>
      </c>
      <c r="B70" s="65" t="str">
        <f ca="1">IFERROR(__xludf.DUMMYFUNCTION("""COMPUTED_VALUE"""),"5720662")</f>
        <v>5720662</v>
      </c>
      <c r="C70" s="48" t="str">
        <f ca="1">IFERROR(__xludf.DUMMYFUNCTION("""COMPUTED_VALUE"""),"CORTELLI")</f>
        <v>CORTELLI</v>
      </c>
      <c r="D70" s="48" t="str">
        <f ca="1">IFERROR(__xludf.DUMMYFUNCTION("""COMPUTED_VALUE"""),"Thibaut")</f>
        <v>Thibaut</v>
      </c>
      <c r="E70" s="49" t="str">
        <f ca="1">IFERROR(__xludf.DUMMYFUNCTION("""COMPUTED_VALUE"""),"06570070")</f>
        <v>06570070</v>
      </c>
      <c r="F70" s="48" t="str">
        <f ca="1">IFERROR(__xludf.DUMMYFUNCTION("""COMPUTED_VALUE"""),"AMNEVILLE Tennis de Table")</f>
        <v>AMNEVILLE Tennis de Table</v>
      </c>
      <c r="G70" s="50" t="str">
        <f ca="1">IFERROR(__xludf.DUMMYFUNCTION("""COMPUTED_VALUE"""),"CD57")</f>
        <v>CD57</v>
      </c>
      <c r="H70" s="50" t="str">
        <f ca="1">IFERROR(__xludf.DUMMYFUNCTION("""COMPUTED_VALUE"""),"inactivité 1ère année")</f>
        <v>inactivité 1ère année</v>
      </c>
    </row>
    <row r="71" spans="1:8" ht="12.75">
      <c r="A71" s="46">
        <f ca="1">IFERROR(__xludf.DUMMYFUNCTION("""COMPUTED_VALUE"""),59)</f>
        <v>59</v>
      </c>
      <c r="B71" s="65" t="str">
        <f ca="1">IFERROR(__xludf.DUMMYFUNCTION("""COMPUTED_VALUE"""),"547473")</f>
        <v>547473</v>
      </c>
      <c r="C71" s="48" t="str">
        <f ca="1">IFERROR(__xludf.DUMMYFUNCTION("""COMPUTED_VALUE"""),"COSSENET")</f>
        <v>COSSENET</v>
      </c>
      <c r="D71" s="48" t="str">
        <f ca="1">IFERROR(__xludf.DUMMYFUNCTION("""COMPUTED_VALUE"""),"Yvon")</f>
        <v>Yvon</v>
      </c>
      <c r="E71" s="49" t="str">
        <f ca="1">IFERROR(__xludf.DUMMYFUNCTION("""COMPUTED_VALUE"""),"06540184")</f>
        <v>06540184</v>
      </c>
      <c r="F71" s="48" t="str">
        <f ca="1">IFERROR(__xludf.DUMMYFUNCTION("""COMPUTED_VALUE"""),"BATILLY Tennis de Table")</f>
        <v>BATILLY Tennis de Table</v>
      </c>
      <c r="G71" s="50" t="str">
        <f ca="1">IFERROR(__xludf.DUMMYFUNCTION("""COMPUTED_VALUE"""),"CD54")</f>
        <v>CD54</v>
      </c>
      <c r="H71" s="50" t="str">
        <f ca="1">IFERROR(__xludf.DUMMYFUNCTION("""COMPUTED_VALUE"""),"actif")</f>
        <v>actif</v>
      </c>
    </row>
    <row r="72" spans="1:8" ht="12.75">
      <c r="A72" s="46">
        <f ca="1">IFERROR(__xludf.DUMMYFUNCTION("""COMPUTED_VALUE"""),60)</f>
        <v>60</v>
      </c>
      <c r="B72" s="65" t="str">
        <f ca="1">IFERROR(__xludf.DUMMYFUNCTION("""COMPUTED_VALUE"""),"522684")</f>
        <v>522684</v>
      </c>
      <c r="C72" s="48" t="str">
        <f ca="1">IFERROR(__xludf.DUMMYFUNCTION("""COMPUTED_VALUE"""),"COUPAS")</f>
        <v>COUPAS</v>
      </c>
      <c r="D72" s="48" t="str">
        <f ca="1">IFERROR(__xludf.DUMMYFUNCTION("""COMPUTED_VALUE"""),"Alexandre")</f>
        <v>Alexandre</v>
      </c>
      <c r="E72" s="49" t="str">
        <f ca="1">IFERROR(__xludf.DUMMYFUNCTION("""COMPUTED_VALUE"""),"06520047")</f>
        <v>06520047</v>
      </c>
      <c r="F72" s="48" t="str">
        <f ca="1">IFERROR(__xludf.DUMMYFUNCTION("""COMPUTED_VALUE"""),"MONTIGNY LE ROI AJP")</f>
        <v>MONTIGNY LE ROI AJP</v>
      </c>
      <c r="G72" s="50" t="str">
        <f ca="1">IFERROR(__xludf.DUMMYFUNCTION("""COMPUTED_VALUE"""),"CD52")</f>
        <v>CD52</v>
      </c>
      <c r="H72" s="50" t="str">
        <f ca="1">IFERROR(__xludf.DUMMYFUNCTION("""COMPUTED_VALUE"""),"inactivité 2ème année")</f>
        <v>inactivité 2ème année</v>
      </c>
    </row>
    <row r="73" spans="1:8" ht="12.75">
      <c r="A73" s="46">
        <f ca="1">IFERROR(__xludf.DUMMYFUNCTION("""COMPUTED_VALUE"""),61)</f>
        <v>61</v>
      </c>
      <c r="B73" s="65" t="str">
        <f ca="1">IFERROR(__xludf.DUMMYFUNCTION("""COMPUTED_VALUE"""),"8816246")</f>
        <v>8816246</v>
      </c>
      <c r="C73" s="48" t="str">
        <f ca="1">IFERROR(__xludf.DUMMYFUNCTION("""COMPUTED_VALUE"""),"COURRIER")</f>
        <v>COURRIER</v>
      </c>
      <c r="D73" s="48" t="str">
        <f ca="1">IFERROR(__xludf.DUMMYFUNCTION("""COMPUTED_VALUE"""),"Jean-Loup")</f>
        <v>Jean-Loup</v>
      </c>
      <c r="E73" s="49" t="str">
        <f ca="1">IFERROR(__xludf.DUMMYFUNCTION("""COMPUTED_VALUE"""),"06880119")</f>
        <v>06880119</v>
      </c>
      <c r="F73" s="48" t="str">
        <f ca="1">IFERROR(__xludf.DUMMYFUNCTION("""COMPUTED_VALUE"""),"CHARMES-VINCEY T.T.")</f>
        <v>CHARMES-VINCEY T.T.</v>
      </c>
      <c r="G73" s="50" t="str">
        <f ca="1">IFERROR(__xludf.DUMMYFUNCTION("""COMPUTED_VALUE"""),"CD88")</f>
        <v>CD88</v>
      </c>
      <c r="H73" s="50" t="str">
        <f ca="1">IFERROR(__xludf.DUMMYFUNCTION("""COMPUTED_VALUE"""),"inactivité 3ème année")</f>
        <v>inactivité 3ème année</v>
      </c>
    </row>
    <row r="74" spans="1:8" ht="12.75">
      <c r="A74" s="46">
        <f ca="1">IFERROR(__xludf.DUMMYFUNCTION("""COMPUTED_VALUE"""),62)</f>
        <v>62</v>
      </c>
      <c r="B74" s="65" t="str">
        <f ca="1">IFERROR(__xludf.DUMMYFUNCTION("""COMPUTED_VALUE"""),"54593")</f>
        <v>54593</v>
      </c>
      <c r="C74" s="48" t="str">
        <f ca="1">IFERROR(__xludf.DUMMYFUNCTION("""COMPUTED_VALUE"""),"CROCE")</f>
        <v>CROCE</v>
      </c>
      <c r="D74" s="48" t="str">
        <f ca="1">IFERROR(__xludf.DUMMYFUNCTION("""COMPUTED_VALUE"""),"Catherine")</f>
        <v>Catherine</v>
      </c>
      <c r="E74" s="49" t="str">
        <f ca="1">IFERROR(__xludf.DUMMYFUNCTION("""COMPUTED_VALUE"""),"06540016")</f>
        <v>06540016</v>
      </c>
      <c r="F74" s="48" t="str">
        <f ca="1">IFERROR(__xludf.DUMMYFUNCTION("""COMPUTED_VALUE"""),"LAXOU AMICALE L.EMILE ZOLA")</f>
        <v>LAXOU AMICALE L.EMILE ZOLA</v>
      </c>
      <c r="G74" s="50" t="str">
        <f ca="1">IFERROR(__xludf.DUMMYFUNCTION("""COMPUTED_VALUE"""),"CD54")</f>
        <v>CD54</v>
      </c>
      <c r="H74" s="50" t="str">
        <f ca="1">IFERROR(__xludf.DUMMYFUNCTION("""COMPUTED_VALUE"""),"inactivité 2ème année")</f>
        <v>inactivité 2ème année</v>
      </c>
    </row>
    <row r="75" spans="1:8" ht="12.75">
      <c r="A75" s="46">
        <f ca="1">IFERROR(__xludf.DUMMYFUNCTION("""COMPUTED_VALUE"""),63)</f>
        <v>63</v>
      </c>
      <c r="B75" s="65" t="str">
        <f ca="1">IFERROR(__xludf.DUMMYFUNCTION("""COMPUTED_VALUE"""),"5113696")</f>
        <v>5113696</v>
      </c>
      <c r="C75" s="48" t="str">
        <f ca="1">IFERROR(__xludf.DUMMYFUNCTION("""COMPUTED_VALUE"""),"CRUSSIERE")</f>
        <v>CRUSSIERE</v>
      </c>
      <c r="D75" s="48" t="str">
        <f ca="1">IFERROR(__xludf.DUMMYFUNCTION("""COMPUTED_VALUE"""),"Cleo")</f>
        <v>Cleo</v>
      </c>
      <c r="E75" s="49" t="str">
        <f ca="1">IFERROR(__xludf.DUMMYFUNCTION("""COMPUTED_VALUE"""),"06510020")</f>
        <v>06510020</v>
      </c>
      <c r="F75" s="48" t="str">
        <f ca="1">IFERROR(__xludf.DUMMYFUNCTION("""COMPUTED_VALUE"""),"EPERNAY-PLIVOT PPC")</f>
        <v>EPERNAY-PLIVOT PPC</v>
      </c>
      <c r="G75" s="50" t="str">
        <f ca="1">IFERROR(__xludf.DUMMYFUNCTION("""COMPUTED_VALUE"""),"CD51")</f>
        <v>CD51</v>
      </c>
      <c r="H75" s="50" t="str">
        <f ca="1">IFERROR(__xludf.DUMMYFUNCTION("""COMPUTED_VALUE"""),"actif")</f>
        <v>actif</v>
      </c>
    </row>
    <row r="76" spans="1:8" ht="12.75">
      <c r="A76" s="46">
        <f ca="1">IFERROR(__xludf.DUMMYFUNCTION("""COMPUTED_VALUE"""),64)</f>
        <v>64</v>
      </c>
      <c r="B76" s="65" t="str">
        <f ca="1">IFERROR(__xludf.DUMMYFUNCTION("""COMPUTED_VALUE"""),"524454")</f>
        <v>524454</v>
      </c>
      <c r="C76" s="48" t="str">
        <f ca="1">IFERROR(__xludf.DUMMYFUNCTION("""COMPUTED_VALUE"""),"CUDEL")</f>
        <v>CUDEL</v>
      </c>
      <c r="D76" s="48" t="str">
        <f ca="1">IFERROR(__xludf.DUMMYFUNCTION("""COMPUTED_VALUE"""),"Julien")</f>
        <v>Julien</v>
      </c>
      <c r="E76" s="49" t="str">
        <f ca="1">IFERROR(__xludf.DUMMYFUNCTION("""COMPUTED_VALUE"""),"06520002")</f>
        <v>06520002</v>
      </c>
      <c r="F76" s="48" t="str">
        <f ca="1">IFERROR(__xludf.DUMMYFUNCTION("""COMPUTED_VALUE"""),"CHALINDREY CS")</f>
        <v>CHALINDREY CS</v>
      </c>
      <c r="G76" s="50" t="str">
        <f ca="1">IFERROR(__xludf.DUMMYFUNCTION("""COMPUTED_VALUE"""),"CD52")</f>
        <v>CD52</v>
      </c>
      <c r="H76" s="50" t="str">
        <f ca="1">IFERROR(__xludf.DUMMYFUNCTION("""COMPUTED_VALUE"""),"inactivité 1ère année")</f>
        <v>inactivité 1ère année</v>
      </c>
    </row>
    <row r="77" spans="1:8" ht="12.75">
      <c r="A77" s="46">
        <f ca="1">IFERROR(__xludf.DUMMYFUNCTION("""COMPUTED_VALUE"""),65)</f>
        <v>65</v>
      </c>
      <c r="B77" s="65" t="str">
        <f ca="1">IFERROR(__xludf.DUMMYFUNCTION("""COMPUTED_VALUE"""),"5424872")</f>
        <v>5424872</v>
      </c>
      <c r="C77" s="48" t="str">
        <f ca="1">IFERROR(__xludf.DUMMYFUNCTION("""COMPUTED_VALUE"""),"CUETTE")</f>
        <v>CUETTE</v>
      </c>
      <c r="D77" s="48" t="str">
        <f ca="1">IFERROR(__xludf.DUMMYFUNCTION("""COMPUTED_VALUE"""),"Jean Paul")</f>
        <v>Jean Paul</v>
      </c>
      <c r="E77" s="49" t="str">
        <f ca="1">IFERROR(__xludf.DUMMYFUNCTION("""COMPUTED_VALUE"""),"06540128")</f>
        <v>06540128</v>
      </c>
      <c r="F77" s="48" t="str">
        <f ca="1">IFERROR(__xludf.DUMMYFUNCTION("""COMPUTED_VALUE"""),"PONT A MOUSSON A.S.T.T.")</f>
        <v>PONT A MOUSSON A.S.T.T.</v>
      </c>
      <c r="G77" s="50" t="str">
        <f ca="1">IFERROR(__xludf.DUMMYFUNCTION("""COMPUTED_VALUE"""),"CD54")</f>
        <v>CD54</v>
      </c>
      <c r="H77" s="50" t="str">
        <f ca="1">IFERROR(__xludf.DUMMYFUNCTION("""COMPUTED_VALUE"""),"actif")</f>
        <v>actif</v>
      </c>
    </row>
    <row r="78" spans="1:8" ht="12.75">
      <c r="A78" s="46">
        <f ca="1">IFERROR(__xludf.DUMMYFUNCTION("""COMPUTED_VALUE"""),66)</f>
        <v>66</v>
      </c>
      <c r="B78" s="65" t="str">
        <f ca="1">IFERROR(__xludf.DUMMYFUNCTION("""COMPUTED_VALUE"""),"547324")</f>
        <v>547324</v>
      </c>
      <c r="C78" s="48" t="str">
        <f ca="1">IFERROR(__xludf.DUMMYFUNCTION("""COMPUTED_VALUE"""),"CUNY")</f>
        <v>CUNY</v>
      </c>
      <c r="D78" s="48" t="str">
        <f ca="1">IFERROR(__xludf.DUMMYFUNCTION("""COMPUTED_VALUE"""),"Frederic")</f>
        <v>Frederic</v>
      </c>
      <c r="E78" s="49" t="str">
        <f ca="1">IFERROR(__xludf.DUMMYFUNCTION("""COMPUTED_VALUE"""),"06540040")</f>
        <v>06540040</v>
      </c>
      <c r="F78" s="48" t="str">
        <f ca="1">IFERROR(__xludf.DUMMYFUNCTION("""COMPUTED_VALUE"""),"VILLERS LES NANCY C.O.S.")</f>
        <v>VILLERS LES NANCY C.O.S.</v>
      </c>
      <c r="G78" s="50" t="str">
        <f ca="1">IFERROR(__xludf.DUMMYFUNCTION("""COMPUTED_VALUE"""),"CD54")</f>
        <v>CD54</v>
      </c>
      <c r="H78" s="50" t="str">
        <f ca="1">IFERROR(__xludf.DUMMYFUNCTION("""COMPUTED_VALUE"""),"inactivité 1ère année")</f>
        <v>inactivité 1ère année</v>
      </c>
    </row>
    <row r="79" spans="1:8" ht="12.75">
      <c r="A79" s="46">
        <f ca="1">IFERROR(__xludf.DUMMYFUNCTION("""COMPUTED_VALUE"""),67)</f>
        <v>67</v>
      </c>
      <c r="B79" s="65" t="str">
        <f ca="1">IFERROR(__xludf.DUMMYFUNCTION("""COMPUTED_VALUE"""),"512854")</f>
        <v>512854</v>
      </c>
      <c r="C79" s="48" t="str">
        <f ca="1">IFERROR(__xludf.DUMMYFUNCTION("""COMPUTED_VALUE"""),"CURATE")</f>
        <v>CURATE</v>
      </c>
      <c r="D79" s="48" t="str">
        <f ca="1">IFERROR(__xludf.DUMMYFUNCTION("""COMPUTED_VALUE"""),"Michael")</f>
        <v>Michael</v>
      </c>
      <c r="E79" s="49" t="str">
        <f ca="1">IFERROR(__xludf.DUMMYFUNCTION("""COMPUTED_VALUE"""),"06510004")</f>
        <v>06510004</v>
      </c>
      <c r="F79" s="48" t="str">
        <f ca="1">IFERROR(__xludf.DUMMYFUNCTION("""COMPUTED_VALUE"""),"CHALONS ASPTT")</f>
        <v>CHALONS ASPTT</v>
      </c>
      <c r="G79" s="50" t="str">
        <f ca="1">IFERROR(__xludf.DUMMYFUNCTION("""COMPUTED_VALUE"""),"CD51")</f>
        <v>CD51</v>
      </c>
      <c r="H79" s="50" t="str">
        <f ca="1">IFERROR(__xludf.DUMMYFUNCTION("""COMPUTED_VALUE"""),"inactivité 1ère année")</f>
        <v>inactivité 1ère année</v>
      </c>
    </row>
    <row r="80" spans="1:8" ht="12.75">
      <c r="A80" s="46">
        <f ca="1">IFERROR(__xludf.DUMMYFUNCTION("""COMPUTED_VALUE"""),68)</f>
        <v>68</v>
      </c>
      <c r="B80" s="65" t="str">
        <f ca="1">IFERROR(__xludf.DUMMYFUNCTION("""COMPUTED_VALUE"""),"571999")</f>
        <v>571999</v>
      </c>
      <c r="C80" s="48" t="str">
        <f ca="1">IFERROR(__xludf.DUMMYFUNCTION("""COMPUTED_VALUE"""),"CUTIN")</f>
        <v>CUTIN</v>
      </c>
      <c r="D80" s="48" t="str">
        <f ca="1">IFERROR(__xludf.DUMMYFUNCTION("""COMPUTED_VALUE"""),"Regis")</f>
        <v>Regis</v>
      </c>
      <c r="E80" s="49" t="str">
        <f ca="1">IFERROR(__xludf.DUMMYFUNCTION("""COMPUTED_VALUE"""),"06540128")</f>
        <v>06540128</v>
      </c>
      <c r="F80" s="48" t="str">
        <f ca="1">IFERROR(__xludf.DUMMYFUNCTION("""COMPUTED_VALUE"""),"PONT A MOUSSON A.S.T.T.")</f>
        <v>PONT A MOUSSON A.S.T.T.</v>
      </c>
      <c r="G80" s="50" t="str">
        <f ca="1">IFERROR(__xludf.DUMMYFUNCTION("""COMPUTED_VALUE"""),"CD54")</f>
        <v>CD54</v>
      </c>
      <c r="H80" s="50" t="str">
        <f ca="1">IFERROR(__xludf.DUMMYFUNCTION("""COMPUTED_VALUE"""),"inactivité 2ème année")</f>
        <v>inactivité 2ème année</v>
      </c>
    </row>
    <row r="81" spans="1:8" ht="12.75">
      <c r="A81" s="46">
        <f ca="1">IFERROR(__xludf.DUMMYFUNCTION("""COMPUTED_VALUE"""),69)</f>
        <v>69</v>
      </c>
      <c r="B81" s="65" t="str">
        <f ca="1">IFERROR(__xludf.DUMMYFUNCTION("""COMPUTED_VALUE"""),"54198")</f>
        <v>54198</v>
      </c>
      <c r="C81" s="48" t="str">
        <f ca="1">IFERROR(__xludf.DUMMYFUNCTION("""COMPUTED_VALUE"""),"D'HIVER")</f>
        <v>D'HIVER</v>
      </c>
      <c r="D81" s="48" t="str">
        <f ca="1">IFERROR(__xludf.DUMMYFUNCTION("""COMPUTED_VALUE"""),"Jean Louis")</f>
        <v>Jean Louis</v>
      </c>
      <c r="E81" s="49" t="str">
        <f ca="1">IFERROR(__xludf.DUMMYFUNCTION("""COMPUTED_VALUE"""),"06540010")</f>
        <v>06540010</v>
      </c>
      <c r="F81" s="48" t="str">
        <f ca="1">IFERROR(__xludf.DUMMYFUNCTION("""COMPUTED_VALUE"""),"FOUG C.P.")</f>
        <v>FOUG C.P.</v>
      </c>
      <c r="G81" s="50" t="str">
        <f ca="1">IFERROR(__xludf.DUMMYFUNCTION("""COMPUTED_VALUE"""),"CD54")</f>
        <v>CD54</v>
      </c>
      <c r="H81" s="50" t="str">
        <f ca="1">IFERROR(__xludf.DUMMYFUNCTION("""COMPUTED_VALUE"""),"inactivité 2ème année")</f>
        <v>inactivité 2ème année</v>
      </c>
    </row>
    <row r="82" spans="1:8" ht="12.75">
      <c r="A82" s="46">
        <f ca="1">IFERROR(__xludf.DUMMYFUNCTION("""COMPUTED_VALUE"""),70)</f>
        <v>70</v>
      </c>
      <c r="B82" s="65" t="str">
        <f ca="1">IFERROR(__xludf.DUMMYFUNCTION("""COMPUTED_VALUE"""),"884323")</f>
        <v>884323</v>
      </c>
      <c r="C82" s="48" t="str">
        <f ca="1">IFERROR(__xludf.DUMMYFUNCTION("""COMPUTED_VALUE"""),"DABONVILLE")</f>
        <v>DABONVILLE</v>
      </c>
      <c r="D82" s="48" t="str">
        <f ca="1">IFERROR(__xludf.DUMMYFUNCTION("""COMPUTED_VALUE"""),"Fabrice")</f>
        <v>Fabrice</v>
      </c>
      <c r="E82" s="49" t="str">
        <f ca="1">IFERROR(__xludf.DUMMYFUNCTION("""COMPUTED_VALUE"""),"06880007")</f>
        <v>06880007</v>
      </c>
      <c r="F82" s="48" t="str">
        <f ca="1">IFERROR(__xludf.DUMMYFUNCTION("""COMPUTED_VALUE"""),"NEUFCHATEAU T.T.")</f>
        <v>NEUFCHATEAU T.T.</v>
      </c>
      <c r="G82" s="50" t="str">
        <f ca="1">IFERROR(__xludf.DUMMYFUNCTION("""COMPUTED_VALUE"""),"CD88")</f>
        <v>CD88</v>
      </c>
      <c r="H82" s="50" t="str">
        <f ca="1">IFERROR(__xludf.DUMMYFUNCTION("""COMPUTED_VALUE"""),"actif")</f>
        <v>actif</v>
      </c>
    </row>
    <row r="83" spans="1:8" ht="12.75">
      <c r="A83" s="46">
        <f ca="1">IFERROR(__xludf.DUMMYFUNCTION("""COMPUTED_VALUE"""),71)</f>
        <v>71</v>
      </c>
      <c r="B83" s="65" t="str">
        <f ca="1">IFERROR(__xludf.DUMMYFUNCTION("""COMPUTED_VALUE"""),"895271")</f>
        <v>895271</v>
      </c>
      <c r="C83" s="48" t="str">
        <f ca="1">IFERROR(__xludf.DUMMYFUNCTION("""COMPUTED_VALUE"""),"DANTON")</f>
        <v>DANTON</v>
      </c>
      <c r="D83" s="48" t="str">
        <f ca="1">IFERROR(__xludf.DUMMYFUNCTION("""COMPUTED_VALUE"""),"Adrien")</f>
        <v>Adrien</v>
      </c>
      <c r="E83" s="49" t="str">
        <f ca="1">IFERROR(__xludf.DUMMYFUNCTION("""COMPUTED_VALUE"""),"06540193")</f>
        <v>06540193</v>
      </c>
      <c r="F83" s="48" t="str">
        <f ca="1">IFERROR(__xludf.DUMMYFUNCTION("""COMPUTED_VALUE"""),"BACCARAT ABTT")</f>
        <v>BACCARAT ABTT</v>
      </c>
      <c r="G83" s="50" t="str">
        <f ca="1">IFERROR(__xludf.DUMMYFUNCTION("""COMPUTED_VALUE"""),"CD54")</f>
        <v>CD54</v>
      </c>
      <c r="H83" s="50" t="str">
        <f ca="1">IFERROR(__xludf.DUMMYFUNCTION("""COMPUTED_VALUE"""),"inactivité 1ère année")</f>
        <v>inactivité 1ère année</v>
      </c>
    </row>
    <row r="84" spans="1:8" ht="12.75">
      <c r="A84" s="46">
        <f ca="1">IFERROR(__xludf.DUMMYFUNCTION("""COMPUTED_VALUE"""),72)</f>
        <v>72</v>
      </c>
      <c r="B84" s="65" t="str">
        <f ca="1">IFERROR(__xludf.DUMMYFUNCTION("""COMPUTED_VALUE"""),"104379")</f>
        <v>104379</v>
      </c>
      <c r="C84" s="48" t="str">
        <f ca="1">IFERROR(__xludf.DUMMYFUNCTION("""COMPUTED_VALUE"""),"DECURE")</f>
        <v>DECURE</v>
      </c>
      <c r="D84" s="48" t="str">
        <f ca="1">IFERROR(__xludf.DUMMYFUNCTION("""COMPUTED_VALUE"""),"Jean-Christophe")</f>
        <v>Jean-Christophe</v>
      </c>
      <c r="E84" s="49" t="str">
        <f ca="1">IFERROR(__xludf.DUMMYFUNCTION("""COMPUTED_VALUE"""),"06510020")</f>
        <v>06510020</v>
      </c>
      <c r="F84" s="48" t="str">
        <f ca="1">IFERROR(__xludf.DUMMYFUNCTION("""COMPUTED_VALUE"""),"EPERNAY-PLIVOT PPC")</f>
        <v>EPERNAY-PLIVOT PPC</v>
      </c>
      <c r="G84" s="50" t="str">
        <f ca="1">IFERROR(__xludf.DUMMYFUNCTION("""COMPUTED_VALUE"""),"CD51")</f>
        <v>CD51</v>
      </c>
      <c r="H84" s="50" t="str">
        <f ca="1">IFERROR(__xludf.DUMMYFUNCTION("""COMPUTED_VALUE"""),"inactivité 1ère année")</f>
        <v>inactivité 1ère année</v>
      </c>
    </row>
    <row r="85" spans="1:8" ht="12.75">
      <c r="A85" s="46">
        <f ca="1">IFERROR(__xludf.DUMMYFUNCTION("""COMPUTED_VALUE"""),73)</f>
        <v>73</v>
      </c>
      <c r="B85" s="65" t="str">
        <f ca="1">IFERROR(__xludf.DUMMYFUNCTION("""COMPUTED_VALUE"""),"0812172")</f>
        <v>0812172</v>
      </c>
      <c r="C85" s="48" t="str">
        <f ca="1">IFERROR(__xludf.DUMMYFUNCTION("""COMPUTED_VALUE"""),"DEFAUCHEUX")</f>
        <v>DEFAUCHEUX</v>
      </c>
      <c r="D85" s="48" t="str">
        <f ca="1">IFERROR(__xludf.DUMMYFUNCTION("""COMPUTED_VALUE"""),"Cecile")</f>
        <v>Cecile</v>
      </c>
      <c r="E85" s="49" t="str">
        <f ca="1">IFERROR(__xludf.DUMMYFUNCTION("""COMPUTED_VALUE"""),"06080006")</f>
        <v>06080006</v>
      </c>
      <c r="F85" s="48" t="str">
        <f ca="1">IFERROR(__xludf.DUMMYFUNCTION("""COMPUTED_VALUE"""),"BAZEILLES PPC")</f>
        <v>BAZEILLES PPC</v>
      </c>
      <c r="G85" s="50" t="str">
        <f ca="1">IFERROR(__xludf.DUMMYFUNCTION("""COMPUTED_VALUE"""),"CD08")</f>
        <v>CD08</v>
      </c>
      <c r="H85" s="50" t="str">
        <f ca="1">IFERROR(__xludf.DUMMYFUNCTION("""COMPUTED_VALUE"""),"inactivité 3ème année")</f>
        <v>inactivité 3ème année</v>
      </c>
    </row>
    <row r="86" spans="1:8" ht="12.75">
      <c r="A86" s="46">
        <f ca="1">IFERROR(__xludf.DUMMYFUNCTION("""COMPUTED_VALUE"""),74)</f>
        <v>74</v>
      </c>
      <c r="B86" s="65" t="str">
        <f ca="1">IFERROR(__xludf.DUMMYFUNCTION("""COMPUTED_VALUE"""),"7720192")</f>
        <v>7720192</v>
      </c>
      <c r="C86" s="48" t="str">
        <f ca="1">IFERROR(__xludf.DUMMYFUNCTION("""COMPUTED_VALUE"""),"DEGRET")</f>
        <v>DEGRET</v>
      </c>
      <c r="D86" s="48" t="str">
        <f ca="1">IFERROR(__xludf.DUMMYFUNCTION("""COMPUTED_VALUE"""),"Sebastien")</f>
        <v>Sebastien</v>
      </c>
      <c r="E86" s="49" t="str">
        <f ca="1">IFERROR(__xludf.DUMMYFUNCTION("""COMPUTED_VALUE"""),"06080006")</f>
        <v>06080006</v>
      </c>
      <c r="F86" s="48" t="str">
        <f ca="1">IFERROR(__xludf.DUMMYFUNCTION("""COMPUTED_VALUE"""),"BAZEILLES PPC")</f>
        <v>BAZEILLES PPC</v>
      </c>
      <c r="G86" s="50" t="str">
        <f ca="1">IFERROR(__xludf.DUMMYFUNCTION("""COMPUTED_VALUE"""),"CD08")</f>
        <v>CD08</v>
      </c>
      <c r="H86" s="50" t="str">
        <f ca="1">IFERROR(__xludf.DUMMYFUNCTION("""COMPUTED_VALUE"""),"inactivité 3ème année")</f>
        <v>inactivité 3ème année</v>
      </c>
    </row>
    <row r="87" spans="1:8" ht="12.75">
      <c r="A87" s="46">
        <f ca="1">IFERROR(__xludf.DUMMYFUNCTION("""COMPUTED_VALUE"""),75)</f>
        <v>75</v>
      </c>
      <c r="B87" s="65" t="str">
        <f ca="1">IFERROR(__xludf.DUMMYFUNCTION("""COMPUTED_VALUE"""),"105197")</f>
        <v>105197</v>
      </c>
      <c r="C87" s="48" t="str">
        <f ca="1">IFERROR(__xludf.DUMMYFUNCTION("""COMPUTED_VALUE"""),"DEJONGHE")</f>
        <v>DEJONGHE</v>
      </c>
      <c r="D87" s="48" t="str">
        <f ca="1">IFERROR(__xludf.DUMMYFUNCTION("""COMPUTED_VALUE"""),"Yoann")</f>
        <v>Yoann</v>
      </c>
      <c r="E87" s="49" t="str">
        <f ca="1">IFERROR(__xludf.DUMMYFUNCTION("""COMPUTED_VALUE"""),"06100021")</f>
        <v>06100021</v>
      </c>
      <c r="F87" s="48" t="str">
        <f ca="1">IFERROR(__xludf.DUMMYFUNCTION("""COMPUTED_VALUE"""),"ARCIS ASATT")</f>
        <v>ARCIS ASATT</v>
      </c>
      <c r="G87" s="50" t="str">
        <f ca="1">IFERROR(__xludf.DUMMYFUNCTION("""COMPUTED_VALUE"""),"CD10")</f>
        <v>CD10</v>
      </c>
      <c r="H87" s="50" t="str">
        <f ca="1">IFERROR(__xludf.DUMMYFUNCTION("""COMPUTED_VALUE"""),"inactivité 1ère année")</f>
        <v>inactivité 1ère année</v>
      </c>
    </row>
    <row r="88" spans="1:8" ht="12.75">
      <c r="A88" s="46">
        <f ca="1">IFERROR(__xludf.DUMMYFUNCTION("""COMPUTED_VALUE"""),76)</f>
        <v>76</v>
      </c>
      <c r="B88" s="65" t="str">
        <f ca="1">IFERROR(__xludf.DUMMYFUNCTION("""COMPUTED_VALUE"""),"8816398")</f>
        <v>8816398</v>
      </c>
      <c r="C88" s="48" t="str">
        <f ca="1">IFERROR(__xludf.DUMMYFUNCTION("""COMPUTED_VALUE"""),"DELEPINE")</f>
        <v>DELEPINE</v>
      </c>
      <c r="D88" s="48" t="str">
        <f ca="1">IFERROR(__xludf.DUMMYFUNCTION("""COMPUTED_VALUE"""),"Marc")</f>
        <v>Marc</v>
      </c>
      <c r="E88" s="49" t="str">
        <f ca="1">IFERROR(__xludf.DUMMYFUNCTION("""COMPUTED_VALUE"""),"06880051")</f>
        <v>06880051</v>
      </c>
      <c r="F88" s="48" t="str">
        <f ca="1">IFERROR(__xludf.DUMMYFUNCTION("""COMPUTED_VALUE"""),"Raquette Golbéenne")</f>
        <v>Raquette Golbéenne</v>
      </c>
      <c r="G88" s="50" t="str">
        <f ca="1">IFERROR(__xludf.DUMMYFUNCTION("""COMPUTED_VALUE"""),"CD88")</f>
        <v>CD88</v>
      </c>
      <c r="H88" s="50" t="str">
        <f ca="1">IFERROR(__xludf.DUMMYFUNCTION("""COMPUTED_VALUE"""),"inactivité 3ème année")</f>
        <v>inactivité 3ème année</v>
      </c>
    </row>
    <row r="89" spans="1:8" ht="12.75">
      <c r="A89" s="46">
        <f ca="1">IFERROR(__xludf.DUMMYFUNCTION("""COMPUTED_VALUE"""),77)</f>
        <v>77</v>
      </c>
      <c r="B89" s="65" t="str">
        <f ca="1">IFERROR(__xludf.DUMMYFUNCTION("""COMPUTED_VALUE"""),"103305")</f>
        <v>103305</v>
      </c>
      <c r="C89" s="48" t="str">
        <f ca="1">IFERROR(__xludf.DUMMYFUNCTION("""COMPUTED_VALUE"""),"DELPAS")</f>
        <v>DELPAS</v>
      </c>
      <c r="D89" s="48" t="str">
        <f ca="1">IFERROR(__xludf.DUMMYFUNCTION("""COMPUTED_VALUE"""),"Bruno")</f>
        <v>Bruno</v>
      </c>
      <c r="E89" s="49" t="str">
        <f ca="1">IFERROR(__xludf.DUMMYFUNCTION("""COMPUTED_VALUE"""),"06100048")</f>
        <v>06100048</v>
      </c>
      <c r="F89" s="48" t="str">
        <f ca="1">IFERROR(__xludf.DUMMYFUNCTION("""COMPUTED_VALUE"""),"BAR SUR AUBE Tennis de Table")</f>
        <v>BAR SUR AUBE Tennis de Table</v>
      </c>
      <c r="G89" s="50" t="str">
        <f ca="1">IFERROR(__xludf.DUMMYFUNCTION("""COMPUTED_VALUE"""),"CD10")</f>
        <v>CD10</v>
      </c>
      <c r="H89" s="50" t="str">
        <f ca="1">IFERROR(__xludf.DUMMYFUNCTION("""COMPUTED_VALUE"""),"inactivité 3ème année")</f>
        <v>inactivité 3ème année</v>
      </c>
    </row>
    <row r="90" spans="1:8" ht="12.75">
      <c r="A90" s="46">
        <f ca="1">IFERROR(__xludf.DUMMYFUNCTION("""COMPUTED_VALUE"""),78)</f>
        <v>78</v>
      </c>
      <c r="B90" s="65" t="str">
        <f ca="1">IFERROR(__xludf.DUMMYFUNCTION("""COMPUTED_VALUE"""),"6717437")</f>
        <v>6717437</v>
      </c>
      <c r="C90" s="48" t="str">
        <f ca="1">IFERROR(__xludf.DUMMYFUNCTION("""COMPUTED_VALUE"""),"DEMEER")</f>
        <v>DEMEER</v>
      </c>
      <c r="D90" s="48" t="str">
        <f ca="1">IFERROR(__xludf.DUMMYFUNCTION("""COMPUTED_VALUE"""),"Maryse")</f>
        <v>Maryse</v>
      </c>
      <c r="E90" s="49" t="str">
        <f ca="1">IFERROR(__xludf.DUMMYFUNCTION("""COMPUTED_VALUE"""),"06670122")</f>
        <v>06670122</v>
      </c>
      <c r="F90" s="48" t="str">
        <f ca="1">IFERROR(__xludf.DUMMYFUNCTION("""COMPUTED_VALUE"""),"OBERNAI CA")</f>
        <v>OBERNAI CA</v>
      </c>
      <c r="G90" s="50" t="str">
        <f ca="1">IFERROR(__xludf.DUMMYFUNCTION("""COMPUTED_VALUE"""),"CD67")</f>
        <v>CD67</v>
      </c>
      <c r="H90" s="50" t="str">
        <f ca="1">IFERROR(__xludf.DUMMYFUNCTION("""COMPUTED_VALUE"""),"actif")</f>
        <v>actif</v>
      </c>
    </row>
    <row r="91" spans="1:8" ht="12.75">
      <c r="A91" s="46">
        <f ca="1">IFERROR(__xludf.DUMMYFUNCTION("""COMPUTED_VALUE"""),79)</f>
        <v>79</v>
      </c>
      <c r="B91" s="65" t="str">
        <f ca="1">IFERROR(__xludf.DUMMYFUNCTION("""COMPUTED_VALUE"""),"5713705")</f>
        <v>5713705</v>
      </c>
      <c r="C91" s="48" t="str">
        <f ca="1">IFERROR(__xludf.DUMMYFUNCTION("""COMPUTED_VALUE"""),"DEMOGEOT")</f>
        <v>DEMOGEOT</v>
      </c>
      <c r="D91" s="48" t="str">
        <f ca="1">IFERROR(__xludf.DUMMYFUNCTION("""COMPUTED_VALUE"""),"Benoit")</f>
        <v>Benoit</v>
      </c>
      <c r="E91" s="49" t="str">
        <f ca="1">IFERROR(__xludf.DUMMYFUNCTION("""COMPUTED_VALUE"""),"06570060")</f>
        <v>06570060</v>
      </c>
      <c r="F91" s="48" t="str">
        <f ca="1">IFERROR(__xludf.DUMMYFUNCTION("""COMPUTED_VALUE"""),"MORSBACH Sarre et Moselle ASTT")</f>
        <v>MORSBACH Sarre et Moselle ASTT</v>
      </c>
      <c r="G91" s="50" t="str">
        <f ca="1">IFERROR(__xludf.DUMMYFUNCTION("""COMPUTED_VALUE"""),"CD57")</f>
        <v>CD57</v>
      </c>
      <c r="H91" s="50" t="str">
        <f ca="1">IFERROR(__xludf.DUMMYFUNCTION("""COMPUTED_VALUE"""),"actif")</f>
        <v>actif</v>
      </c>
    </row>
    <row r="92" spans="1:8" ht="12.75">
      <c r="A92" s="46">
        <f ca="1">IFERROR(__xludf.DUMMYFUNCTION("""COMPUTED_VALUE"""),80)</f>
        <v>80</v>
      </c>
      <c r="B92" s="65" t="str">
        <f ca="1">IFERROR(__xludf.DUMMYFUNCTION("""COMPUTED_VALUE"""),"52562")</f>
        <v>52562</v>
      </c>
      <c r="C92" s="48" t="str">
        <f ca="1">IFERROR(__xludf.DUMMYFUNCTION("""COMPUTED_VALUE"""),"DEMOUSTIER")</f>
        <v>DEMOUSTIER</v>
      </c>
      <c r="D92" s="48" t="str">
        <f ca="1">IFERROR(__xludf.DUMMYFUNCTION("""COMPUTED_VALUE"""),"David")</f>
        <v>David</v>
      </c>
      <c r="E92" s="49" t="str">
        <f ca="1">IFERROR(__xludf.DUMMYFUNCTION("""COMPUTED_VALUE"""),"06520004")</f>
        <v>06520004</v>
      </c>
      <c r="F92" s="48" t="str">
        <f ca="1">IFERROR(__xludf.DUMMYFUNCTION("""COMPUTED_VALUE"""),"CHANCENAY-SLO TT")</f>
        <v>CHANCENAY-SLO TT</v>
      </c>
      <c r="G92" s="50" t="str">
        <f ca="1">IFERROR(__xludf.DUMMYFUNCTION("""COMPUTED_VALUE"""),"CD52")</f>
        <v>CD52</v>
      </c>
      <c r="H92" s="50" t="str">
        <f ca="1">IFERROR(__xludf.DUMMYFUNCTION("""COMPUTED_VALUE"""),"inactivité 1ère année")</f>
        <v>inactivité 1ère année</v>
      </c>
    </row>
    <row r="93" spans="1:8" ht="12.75">
      <c r="A93" s="46">
        <f ca="1">IFERROR(__xludf.DUMMYFUNCTION("""COMPUTED_VALUE"""),81)</f>
        <v>81</v>
      </c>
      <c r="B93" s="65" t="str">
        <f ca="1">IFERROR(__xludf.DUMMYFUNCTION("""COMPUTED_VALUE"""),"8812726")</f>
        <v>8812726</v>
      </c>
      <c r="C93" s="48" t="str">
        <f ca="1">IFERROR(__xludf.DUMMYFUNCTION("""COMPUTED_VALUE"""),"DEPP")</f>
        <v>DEPP</v>
      </c>
      <c r="D93" s="48" t="str">
        <f ca="1">IFERROR(__xludf.DUMMYFUNCTION("""COMPUTED_VALUE"""),"Jean Luc")</f>
        <v>Jean Luc</v>
      </c>
      <c r="E93" s="49" t="str">
        <f ca="1">IFERROR(__xludf.DUMMYFUNCTION("""COMPUTED_VALUE"""),"06880123")</f>
        <v>06880123</v>
      </c>
      <c r="F93" s="48" t="str">
        <f ca="1">IFERROR(__xludf.DUMMYFUNCTION("""COMPUTED_VALUE"""),"ETIVAL ASRTT")</f>
        <v>ETIVAL ASRTT</v>
      </c>
      <c r="G93" s="50" t="str">
        <f ca="1">IFERROR(__xludf.DUMMYFUNCTION("""COMPUTED_VALUE"""),"CD88")</f>
        <v>CD88</v>
      </c>
      <c r="H93" s="50" t="str">
        <f ca="1">IFERROR(__xludf.DUMMYFUNCTION("""COMPUTED_VALUE"""),"actif")</f>
        <v>actif</v>
      </c>
    </row>
    <row r="94" spans="1:8" ht="12.75">
      <c r="A94" s="46">
        <f ca="1">IFERROR(__xludf.DUMMYFUNCTION("""COMPUTED_VALUE"""),82)</f>
        <v>82</v>
      </c>
      <c r="B94" s="65" t="str">
        <f ca="1">IFERROR(__xludf.DUMMYFUNCTION("""COMPUTED_VALUE"""),"105784")</f>
        <v>105784</v>
      </c>
      <c r="C94" s="48" t="str">
        <f ca="1">IFERROR(__xludf.DUMMYFUNCTION("""COMPUTED_VALUE"""),"DEPREZ")</f>
        <v>DEPREZ</v>
      </c>
      <c r="D94" s="48" t="str">
        <f ca="1">IFERROR(__xludf.DUMMYFUNCTION("""COMPUTED_VALUE"""),"Gael")</f>
        <v>Gael</v>
      </c>
      <c r="E94" s="49" t="str">
        <f ca="1">IFERROR(__xludf.DUMMYFUNCTION("""COMPUTED_VALUE"""),"06570027")</f>
        <v>06570027</v>
      </c>
      <c r="F94" s="48" t="str">
        <f ca="1">IFERROR(__xludf.DUMMYFUNCTION("""COMPUTED_VALUE"""),"FORBACH U.S.T.T.")</f>
        <v>FORBACH U.S.T.T.</v>
      </c>
      <c r="G94" s="50" t="str">
        <f ca="1">IFERROR(__xludf.DUMMYFUNCTION("""COMPUTED_VALUE"""),"CD57")</f>
        <v>CD57</v>
      </c>
      <c r="H94" s="50" t="str">
        <f ca="1">IFERROR(__xludf.DUMMYFUNCTION("""COMPUTED_VALUE"""),"inactivité 2ème année")</f>
        <v>inactivité 2ème année</v>
      </c>
    </row>
    <row r="95" spans="1:8" ht="12.75">
      <c r="A95" s="46">
        <f ca="1">IFERROR(__xludf.DUMMYFUNCTION("""COMPUTED_VALUE"""),83)</f>
        <v>83</v>
      </c>
      <c r="B95" s="65" t="str">
        <f ca="1">IFERROR(__xludf.DUMMYFUNCTION("""COMPUTED_VALUE"""),"106215")</f>
        <v>106215</v>
      </c>
      <c r="C95" s="48" t="str">
        <f ca="1">IFERROR(__xludf.DUMMYFUNCTION("""COMPUTED_VALUE"""),"DESCAMPS")</f>
        <v>DESCAMPS</v>
      </c>
      <c r="D95" s="48" t="str">
        <f ca="1">IFERROR(__xludf.DUMMYFUNCTION("""COMPUTED_VALUE"""),"Julia")</f>
        <v>Julia</v>
      </c>
      <c r="E95" s="49" t="str">
        <f ca="1">IFERROR(__xludf.DUMMYFUNCTION("""COMPUTED_VALUE"""),"06100002")</f>
        <v>06100002</v>
      </c>
      <c r="F95" s="48" t="str">
        <f ca="1">IFERROR(__xludf.DUMMYFUNCTION("""COMPUTED_VALUE"""),"TROYES O.S - NOËS TT")</f>
        <v>TROYES O.S - NOËS TT</v>
      </c>
      <c r="G95" s="50" t="str">
        <f ca="1">IFERROR(__xludf.DUMMYFUNCTION("""COMPUTED_VALUE"""),"CD10")</f>
        <v>CD10</v>
      </c>
      <c r="H95" s="50" t="str">
        <f ca="1">IFERROR(__xludf.DUMMYFUNCTION("""COMPUTED_VALUE"""),"inactivité 1ère année")</f>
        <v>inactivité 1ère année</v>
      </c>
    </row>
    <row r="96" spans="1:8" ht="12.75">
      <c r="A96" s="46">
        <f ca="1">IFERROR(__xludf.DUMMYFUNCTION("""COMPUTED_VALUE"""),84)</f>
        <v>84</v>
      </c>
      <c r="B96" s="65" t="str">
        <f ca="1">IFERROR(__xludf.DUMMYFUNCTION("""COMPUTED_VALUE"""),"107265")</f>
        <v>107265</v>
      </c>
      <c r="C96" s="48" t="str">
        <f ca="1">IFERROR(__xludf.DUMMYFUNCTION("""COMPUTED_VALUE"""),"DEVILLIERS")</f>
        <v>DEVILLIERS</v>
      </c>
      <c r="D96" s="48" t="str">
        <f ca="1">IFERROR(__xludf.DUMMYFUNCTION("""COMPUTED_VALUE"""),"Julie")</f>
        <v>Julie</v>
      </c>
      <c r="E96" s="49" t="str">
        <f ca="1">IFERROR(__xludf.DUMMYFUNCTION("""COMPUTED_VALUE"""),"06100015")</f>
        <v>06100015</v>
      </c>
      <c r="F96" s="48" t="str">
        <f ca="1">IFERROR(__xludf.DUMMYFUNCTION("""COMPUTED_VALUE"""),"TROYES JEUNE GARDE")</f>
        <v>TROYES JEUNE GARDE</v>
      </c>
      <c r="G96" s="50" t="str">
        <f ca="1">IFERROR(__xludf.DUMMYFUNCTION("""COMPUTED_VALUE"""),"CD10")</f>
        <v>CD10</v>
      </c>
      <c r="H96" s="50" t="str">
        <f ca="1">IFERROR(__xludf.DUMMYFUNCTION("""COMPUTED_VALUE"""),"inactivité 3ème année")</f>
        <v>inactivité 3ème année</v>
      </c>
    </row>
    <row r="97" spans="1:8" ht="12.75">
      <c r="A97" s="46">
        <f ca="1">IFERROR(__xludf.DUMMYFUNCTION("""COMPUTED_VALUE"""),85)</f>
        <v>85</v>
      </c>
      <c r="B97" s="65" t="str">
        <f ca="1">IFERROR(__xludf.DUMMYFUNCTION("""COMPUTED_VALUE"""),"889045")</f>
        <v>889045</v>
      </c>
      <c r="C97" s="48" t="str">
        <f ca="1">IFERROR(__xludf.DUMMYFUNCTION("""COMPUTED_VALUE"""),"DIEZ")</f>
        <v>DIEZ</v>
      </c>
      <c r="D97" s="48" t="str">
        <f ca="1">IFERROR(__xludf.DUMMYFUNCTION("""COMPUTED_VALUE"""),"Matthieu")</f>
        <v>Matthieu</v>
      </c>
      <c r="E97" s="49" t="str">
        <f ca="1">IFERROR(__xludf.DUMMYFUNCTION("""COMPUTED_VALUE"""),"06880022")</f>
        <v>06880022</v>
      </c>
      <c r="F97" s="48" t="str">
        <f ca="1">IFERROR(__xludf.DUMMYFUNCTION("""COMPUTED_VALUE"""),"VITTEL SAINT REMY TT")</f>
        <v>VITTEL SAINT REMY TT</v>
      </c>
      <c r="G97" s="50" t="str">
        <f ca="1">IFERROR(__xludf.DUMMYFUNCTION("""COMPUTED_VALUE"""),"CD88")</f>
        <v>CD88</v>
      </c>
      <c r="H97" s="50" t="str">
        <f ca="1">IFERROR(__xludf.DUMMYFUNCTION("""COMPUTED_VALUE"""),"inactivité 3ème année")</f>
        <v>inactivité 3ème année</v>
      </c>
    </row>
    <row r="98" spans="1:8" ht="12.75">
      <c r="A98" s="46">
        <f ca="1">IFERROR(__xludf.DUMMYFUNCTION("""COMPUTED_VALUE"""),86)</f>
        <v>86</v>
      </c>
      <c r="B98" s="65" t="str">
        <f ca="1">IFERROR(__xludf.DUMMYFUNCTION("""COMPUTED_VALUE"""),"8811272")</f>
        <v>8811272</v>
      </c>
      <c r="C98" s="48" t="str">
        <f ca="1">IFERROR(__xludf.DUMMYFUNCTION("""COMPUTED_VALUE"""),"DISTEFANO")</f>
        <v>DISTEFANO</v>
      </c>
      <c r="D98" s="48" t="str">
        <f ca="1">IFERROR(__xludf.DUMMYFUNCTION("""COMPUTED_VALUE"""),"Bruno")</f>
        <v>Bruno</v>
      </c>
      <c r="E98" s="49" t="str">
        <f ca="1">IFERROR(__xludf.DUMMYFUNCTION("""COMPUTED_VALUE"""),"06880064")</f>
        <v>06880064</v>
      </c>
      <c r="F98" s="48" t="str">
        <f ca="1">IFERROR(__xludf.DUMMYFUNCTION("""COMPUTED_VALUE"""),"TT des Ballons des Hautes Vosges")</f>
        <v>TT des Ballons des Hautes Vosges</v>
      </c>
      <c r="G98" s="50" t="str">
        <f ca="1">IFERROR(__xludf.DUMMYFUNCTION("""COMPUTED_VALUE"""),"CD88")</f>
        <v>CD88</v>
      </c>
      <c r="H98" s="50" t="str">
        <f ca="1">IFERROR(__xludf.DUMMYFUNCTION("""COMPUTED_VALUE"""),"inactivité 1ère année")</f>
        <v>inactivité 1ère année</v>
      </c>
    </row>
    <row r="99" spans="1:8" ht="12.75">
      <c r="A99" s="46">
        <f ca="1">IFERROR(__xludf.DUMMYFUNCTION("""COMPUTED_VALUE"""),87)</f>
        <v>87</v>
      </c>
      <c r="B99" s="65" t="str">
        <f ca="1">IFERROR(__xludf.DUMMYFUNCTION("""COMPUTED_VALUE"""),"087580")</f>
        <v>087580</v>
      </c>
      <c r="C99" s="48" t="str">
        <f ca="1">IFERROR(__xludf.DUMMYFUNCTION("""COMPUTED_VALUE"""),"DOMINE")</f>
        <v>DOMINE</v>
      </c>
      <c r="D99" s="48" t="str">
        <f ca="1">IFERROR(__xludf.DUMMYFUNCTION("""COMPUTED_VALUE"""),"Stephane")</f>
        <v>Stephane</v>
      </c>
      <c r="E99" s="49" t="str">
        <f ca="1">IFERROR(__xludf.DUMMYFUNCTION("""COMPUTED_VALUE"""),"06080043")</f>
        <v>06080043</v>
      </c>
      <c r="F99" s="48" t="str">
        <f ca="1">IFERROR(__xludf.DUMMYFUNCTION("""COMPUTED_VALUE"""),"ETREPIGNY TT")</f>
        <v>ETREPIGNY TT</v>
      </c>
      <c r="G99" s="50" t="str">
        <f ca="1">IFERROR(__xludf.DUMMYFUNCTION("""COMPUTED_VALUE"""),"CD08")</f>
        <v>CD08</v>
      </c>
      <c r="H99" s="50" t="str">
        <f ca="1">IFERROR(__xludf.DUMMYFUNCTION("""COMPUTED_VALUE"""),"inactivité 1ère année")</f>
        <v>inactivité 1ère année</v>
      </c>
    </row>
    <row r="100" spans="1:8" ht="12.75">
      <c r="A100" s="46">
        <f ca="1">IFERROR(__xludf.DUMMYFUNCTION("""COMPUTED_VALUE"""),88)</f>
        <v>88</v>
      </c>
      <c r="B100" s="65" t="str">
        <f ca="1">IFERROR(__xludf.DUMMYFUNCTION("""COMPUTED_VALUE"""),"557854")</f>
        <v>557854</v>
      </c>
      <c r="C100" s="48" t="str">
        <f ca="1">IFERROR(__xludf.DUMMYFUNCTION("""COMPUTED_VALUE"""),"DONOT")</f>
        <v>DONOT</v>
      </c>
      <c r="D100" s="48" t="str">
        <f ca="1">IFERROR(__xludf.DUMMYFUNCTION("""COMPUTED_VALUE"""),"Arsene")</f>
        <v>Arsene</v>
      </c>
      <c r="E100" s="49" t="str">
        <f ca="1">IFERROR(__xludf.DUMMYFUNCTION("""COMPUTED_VALUE"""),"06550052")</f>
        <v>06550052</v>
      </c>
      <c r="F100" s="48" t="str">
        <f ca="1">IFERROR(__xludf.DUMMYFUNCTION("""COMPUTED_VALUE"""),"LIGNY EN BARROIS T.T.")</f>
        <v>LIGNY EN BARROIS T.T.</v>
      </c>
      <c r="G100" s="50" t="str">
        <f ca="1">IFERROR(__xludf.DUMMYFUNCTION("""COMPUTED_VALUE"""),"CD55")</f>
        <v>CD55</v>
      </c>
      <c r="H100" s="50" t="str">
        <f ca="1">IFERROR(__xludf.DUMMYFUNCTION("""COMPUTED_VALUE"""),"inactivité 3ème année")</f>
        <v>inactivité 3ème année</v>
      </c>
    </row>
    <row r="101" spans="1:8" ht="12.75">
      <c r="A101" s="46">
        <f ca="1">IFERROR(__xludf.DUMMYFUNCTION("""COMPUTED_VALUE"""),89)</f>
        <v>89</v>
      </c>
      <c r="B101" s="65" t="str">
        <f ca="1">IFERROR(__xludf.DUMMYFUNCTION("""COMPUTED_VALUE"""),"8814414")</f>
        <v>8814414</v>
      </c>
      <c r="C101" s="48" t="str">
        <f ca="1">IFERROR(__xludf.DUMMYFUNCTION("""COMPUTED_VALUE"""),"DUBOIS")</f>
        <v>DUBOIS</v>
      </c>
      <c r="D101" s="48" t="str">
        <f ca="1">IFERROR(__xludf.DUMMYFUNCTION("""COMPUTED_VALUE"""),"Chantal")</f>
        <v>Chantal</v>
      </c>
      <c r="E101" s="49" t="str">
        <f ca="1">IFERROR(__xludf.DUMMYFUNCTION("""COMPUTED_VALUE"""),"06880049")</f>
        <v>06880049</v>
      </c>
      <c r="F101" s="48" t="str">
        <f ca="1">IFERROR(__xludf.DUMMYFUNCTION("""COMPUTED_VALUE"""),"MIRECOURT Lift Club")</f>
        <v>MIRECOURT Lift Club</v>
      </c>
      <c r="G101" s="50" t="str">
        <f ca="1">IFERROR(__xludf.DUMMYFUNCTION("""COMPUTED_VALUE"""),"CD88")</f>
        <v>CD88</v>
      </c>
      <c r="H101" s="50" t="str">
        <f ca="1">IFERROR(__xludf.DUMMYFUNCTION("""COMPUTED_VALUE"""),"actif")</f>
        <v>actif</v>
      </c>
    </row>
    <row r="102" spans="1:8" ht="12.75">
      <c r="A102" s="46">
        <f ca="1">IFERROR(__xludf.DUMMYFUNCTION("""COMPUTED_VALUE"""),90)</f>
        <v>90</v>
      </c>
      <c r="B102" s="65" t="str">
        <f ca="1">IFERROR(__xludf.DUMMYFUNCTION("""COMPUTED_VALUE"""),"517428")</f>
        <v>517428</v>
      </c>
      <c r="C102" s="48" t="str">
        <f ca="1">IFERROR(__xludf.DUMMYFUNCTION("""COMPUTED_VALUE"""),"DUBOIS")</f>
        <v>DUBOIS</v>
      </c>
      <c r="D102" s="48" t="str">
        <f ca="1">IFERROR(__xludf.DUMMYFUNCTION("""COMPUTED_VALUE"""),"Stephane")</f>
        <v>Stephane</v>
      </c>
      <c r="E102" s="49" t="str">
        <f ca="1">IFERROR(__xludf.DUMMYFUNCTION("""COMPUTED_VALUE"""),"06510020")</f>
        <v>06510020</v>
      </c>
      <c r="F102" s="48" t="str">
        <f ca="1">IFERROR(__xludf.DUMMYFUNCTION("""COMPUTED_VALUE"""),"EPERNAY-PLIVOT PPC")</f>
        <v>EPERNAY-PLIVOT PPC</v>
      </c>
      <c r="G102" s="50" t="str">
        <f ca="1">IFERROR(__xludf.DUMMYFUNCTION("""COMPUTED_VALUE"""),"CD51")</f>
        <v>CD51</v>
      </c>
      <c r="H102" s="50" t="str">
        <f ca="1">IFERROR(__xludf.DUMMYFUNCTION("""COMPUTED_VALUE"""),"inactivité 3ème année")</f>
        <v>inactivité 3ème année</v>
      </c>
    </row>
    <row r="103" spans="1:8" ht="12.75">
      <c r="A103" s="46">
        <f ca="1">IFERROR(__xludf.DUMMYFUNCTION("""COMPUTED_VALUE"""),91)</f>
        <v>91</v>
      </c>
      <c r="B103" s="65" t="str">
        <f ca="1">IFERROR(__xludf.DUMMYFUNCTION("""COMPUTED_VALUE"""),"102254")</f>
        <v>102254</v>
      </c>
      <c r="C103" s="48" t="str">
        <f ca="1">IFERROR(__xludf.DUMMYFUNCTION("""COMPUTED_VALUE"""),"DUFLEXIS")</f>
        <v>DUFLEXIS</v>
      </c>
      <c r="D103" s="48" t="str">
        <f ca="1">IFERROR(__xludf.DUMMYFUNCTION("""COMPUTED_VALUE"""),"Arnaud")</f>
        <v>Arnaud</v>
      </c>
      <c r="E103" s="49" t="str">
        <f ca="1">IFERROR(__xludf.DUMMYFUNCTION("""COMPUTED_VALUE"""),"06100015")</f>
        <v>06100015</v>
      </c>
      <c r="F103" s="48" t="str">
        <f ca="1">IFERROR(__xludf.DUMMYFUNCTION("""COMPUTED_VALUE"""),"TROYES JEUNE GARDE")</f>
        <v>TROYES JEUNE GARDE</v>
      </c>
      <c r="G103" s="50" t="str">
        <f ca="1">IFERROR(__xludf.DUMMYFUNCTION("""COMPUTED_VALUE"""),"CD10")</f>
        <v>CD10</v>
      </c>
      <c r="H103" s="50" t="str">
        <f ca="1">IFERROR(__xludf.DUMMYFUNCTION("""COMPUTED_VALUE"""),"inactivité 3ème année")</f>
        <v>inactivité 3ème année</v>
      </c>
    </row>
    <row r="104" spans="1:8" ht="12.75">
      <c r="A104" s="46">
        <f ca="1">IFERROR(__xludf.DUMMYFUNCTION("""COMPUTED_VALUE"""),92)</f>
        <v>92</v>
      </c>
      <c r="B104" s="65" t="str">
        <f ca="1">IFERROR(__xludf.DUMMYFUNCTION("""COMPUTED_VALUE"""),"086920")</f>
        <v>086920</v>
      </c>
      <c r="C104" s="48" t="str">
        <f ca="1">IFERROR(__xludf.DUMMYFUNCTION("""COMPUTED_VALUE"""),"DUPONT")</f>
        <v>DUPONT</v>
      </c>
      <c r="D104" s="48" t="str">
        <f ca="1">IFERROR(__xludf.DUMMYFUNCTION("""COMPUTED_VALUE"""),"Julien")</f>
        <v>Julien</v>
      </c>
      <c r="E104" s="49" t="str">
        <f ca="1">IFERROR(__xludf.DUMMYFUNCTION("""COMPUTED_VALUE"""),"06080047")</f>
        <v>06080047</v>
      </c>
      <c r="F104" s="48" t="str">
        <f ca="1">IFERROR(__xludf.DUMMYFUNCTION("""COMPUTED_VALUE"""),"MONTCY NOTRE DAME PPC")</f>
        <v>MONTCY NOTRE DAME PPC</v>
      </c>
      <c r="G104" s="50" t="str">
        <f ca="1">IFERROR(__xludf.DUMMYFUNCTION("""COMPUTED_VALUE"""),"CD08")</f>
        <v>CD08</v>
      </c>
      <c r="H104" s="50" t="str">
        <f ca="1">IFERROR(__xludf.DUMMYFUNCTION("""COMPUTED_VALUE"""),"inactivité 1ère année")</f>
        <v>inactivité 1ère année</v>
      </c>
    </row>
    <row r="105" spans="1:8" ht="12.75">
      <c r="A105" s="46">
        <f ca="1">IFERROR(__xludf.DUMMYFUNCTION("""COMPUTED_VALUE"""),93)</f>
        <v>93</v>
      </c>
      <c r="B105" s="65" t="str">
        <f ca="1">IFERROR(__xludf.DUMMYFUNCTION("""COMPUTED_VALUE"""),"518050")</f>
        <v>518050</v>
      </c>
      <c r="C105" s="48" t="str">
        <f ca="1">IFERROR(__xludf.DUMMYFUNCTION("""COMPUTED_VALUE"""),"ECKSTEIN")</f>
        <v>ECKSTEIN</v>
      </c>
      <c r="D105" s="48" t="str">
        <f ca="1">IFERROR(__xludf.DUMMYFUNCTION("""COMPUTED_VALUE"""),"Stephane")</f>
        <v>Stephane</v>
      </c>
      <c r="E105" s="49" t="str">
        <f ca="1">IFERROR(__xludf.DUMMYFUNCTION("""COMPUTED_VALUE"""),"06510020")</f>
        <v>06510020</v>
      </c>
      <c r="F105" s="48" t="str">
        <f ca="1">IFERROR(__xludf.DUMMYFUNCTION("""COMPUTED_VALUE"""),"EPERNAY-PLIVOT PPC")</f>
        <v>EPERNAY-PLIVOT PPC</v>
      </c>
      <c r="G105" s="50" t="str">
        <f ca="1">IFERROR(__xludf.DUMMYFUNCTION("""COMPUTED_VALUE"""),"CD51")</f>
        <v>CD51</v>
      </c>
      <c r="H105" s="50" t="str">
        <f ca="1">IFERROR(__xludf.DUMMYFUNCTION("""COMPUTED_VALUE"""),"inactivité 2ème année")</f>
        <v>inactivité 2ème année</v>
      </c>
    </row>
    <row r="106" spans="1:8" ht="12.75">
      <c r="A106" s="46">
        <f ca="1">IFERROR(__xludf.DUMMYFUNCTION("""COMPUTED_VALUE"""),94)</f>
        <v>94</v>
      </c>
      <c r="B106" s="65" t="str">
        <f ca="1">IFERROR(__xludf.DUMMYFUNCTION("""COMPUTED_VALUE"""),"679529")</f>
        <v>679529</v>
      </c>
      <c r="C106" s="48" t="str">
        <f ca="1">IFERROR(__xludf.DUMMYFUNCTION("""COMPUTED_VALUE"""),"ENDURAN")</f>
        <v>ENDURAN</v>
      </c>
      <c r="D106" s="48" t="str">
        <f ca="1">IFERROR(__xludf.DUMMYFUNCTION("""COMPUTED_VALUE"""),"Laurent")</f>
        <v>Laurent</v>
      </c>
      <c r="E106" s="49" t="str">
        <f ca="1">IFERROR(__xludf.DUMMYFUNCTION("""COMPUTED_VALUE"""),"06670122")</f>
        <v>06670122</v>
      </c>
      <c r="F106" s="48" t="str">
        <f ca="1">IFERROR(__xludf.DUMMYFUNCTION("""COMPUTED_VALUE"""),"OBERNAI CA")</f>
        <v>OBERNAI CA</v>
      </c>
      <c r="G106" s="50" t="str">
        <f ca="1">IFERROR(__xludf.DUMMYFUNCTION("""COMPUTED_VALUE"""),"CD67")</f>
        <v>CD67</v>
      </c>
      <c r="H106" s="50" t="str">
        <f ca="1">IFERROR(__xludf.DUMMYFUNCTION("""COMPUTED_VALUE"""),"actif")</f>
        <v>actif</v>
      </c>
    </row>
    <row r="107" spans="1:8" ht="12.75">
      <c r="A107" s="46">
        <f ca="1">IFERROR(__xludf.DUMMYFUNCTION("""COMPUTED_VALUE"""),95)</f>
        <v>95</v>
      </c>
      <c r="B107" s="65" t="str">
        <f ca="1">IFERROR(__xludf.DUMMYFUNCTION("""COMPUTED_VALUE"""),"103729")</f>
        <v>103729</v>
      </c>
      <c r="C107" s="48" t="str">
        <f ca="1">IFERROR(__xludf.DUMMYFUNCTION("""COMPUTED_VALUE"""),"ESTEVES")</f>
        <v>ESTEVES</v>
      </c>
      <c r="D107" s="48" t="str">
        <f ca="1">IFERROR(__xludf.DUMMYFUNCTION("""COMPUTED_VALUE"""),"Eric")</f>
        <v>Eric</v>
      </c>
      <c r="E107" s="49" t="str">
        <f ca="1">IFERROR(__xludf.DUMMYFUNCTION("""COMPUTED_VALUE"""),"06100004")</f>
        <v>06100004</v>
      </c>
      <c r="F107" s="48" t="str">
        <f ca="1">IFERROR(__xludf.DUMMYFUNCTION("""COMPUTED_VALUE"""),"MOUSSEY CS")</f>
        <v>MOUSSEY CS</v>
      </c>
      <c r="G107" s="50" t="str">
        <f ca="1">IFERROR(__xludf.DUMMYFUNCTION("""COMPUTED_VALUE"""),"CD10")</f>
        <v>CD10</v>
      </c>
      <c r="H107" s="50" t="str">
        <f ca="1">IFERROR(__xludf.DUMMYFUNCTION("""COMPUTED_VALUE"""),"inactivité 1ère année")</f>
        <v>inactivité 1ère année</v>
      </c>
    </row>
    <row r="108" spans="1:8" ht="12.75">
      <c r="A108" s="46">
        <f ca="1">IFERROR(__xludf.DUMMYFUNCTION("""COMPUTED_VALUE"""),96)</f>
        <v>96</v>
      </c>
      <c r="B108" s="65" t="str">
        <f ca="1">IFERROR(__xludf.DUMMYFUNCTION("""COMPUTED_VALUE"""),"5412590")</f>
        <v>5412590</v>
      </c>
      <c r="C108" s="48" t="str">
        <f ca="1">IFERROR(__xludf.DUMMYFUNCTION("""COMPUTED_VALUE"""),"ETIENNE")</f>
        <v>ETIENNE</v>
      </c>
      <c r="D108" s="48" t="str">
        <f ca="1">IFERROR(__xludf.DUMMYFUNCTION("""COMPUTED_VALUE"""),"Ghislain")</f>
        <v>Ghislain</v>
      </c>
      <c r="E108" s="49" t="str">
        <f ca="1">IFERROR(__xludf.DUMMYFUNCTION("""COMPUTED_VALUE"""),"06540192")</f>
        <v>06540192</v>
      </c>
      <c r="F108" s="48" t="str">
        <f ca="1">IFERROR(__xludf.DUMMYFUNCTION("""COMPUTED_VALUE"""),"LONGLAVILLE TT")</f>
        <v>LONGLAVILLE TT</v>
      </c>
      <c r="G108" s="50" t="str">
        <f ca="1">IFERROR(__xludf.DUMMYFUNCTION("""COMPUTED_VALUE"""),"CD54")</f>
        <v>CD54</v>
      </c>
      <c r="H108" s="50" t="str">
        <f ca="1">IFERROR(__xludf.DUMMYFUNCTION("""COMPUTED_VALUE"""),"inactivité 3ème année")</f>
        <v>inactivité 3ème année</v>
      </c>
    </row>
    <row r="109" spans="1:8" ht="12.75">
      <c r="A109" s="46">
        <f ca="1">IFERROR(__xludf.DUMMYFUNCTION("""COMPUTED_VALUE"""),97)</f>
        <v>97</v>
      </c>
      <c r="B109" s="65" t="str">
        <f ca="1">IFERROR(__xludf.DUMMYFUNCTION("""COMPUTED_VALUE"""),"8812776")</f>
        <v>8812776</v>
      </c>
      <c r="C109" s="48" t="str">
        <f ca="1">IFERROR(__xludf.DUMMYFUNCTION("""COMPUTED_VALUE"""),"ETIENNE")</f>
        <v>ETIENNE</v>
      </c>
      <c r="D109" s="48" t="str">
        <f ca="1">IFERROR(__xludf.DUMMYFUNCTION("""COMPUTED_VALUE"""),"Gauthier")</f>
        <v>Gauthier</v>
      </c>
      <c r="E109" s="49" t="str">
        <f ca="1">IFERROR(__xludf.DUMMYFUNCTION("""COMPUTED_VALUE"""),"06880145")</f>
        <v>06880145</v>
      </c>
      <c r="F109" s="48" t="str">
        <f ca="1">IFERROR(__xludf.DUMMYFUNCTION("""COMPUTED_VALUE"""),"THAON CHENIMENIL E.S.T.T.")</f>
        <v>THAON CHENIMENIL E.S.T.T.</v>
      </c>
      <c r="G109" s="50" t="str">
        <f ca="1">IFERROR(__xludf.DUMMYFUNCTION("""COMPUTED_VALUE"""),"CD88")</f>
        <v>CD88</v>
      </c>
      <c r="H109" s="50" t="str">
        <f ca="1">IFERROR(__xludf.DUMMYFUNCTION("""COMPUTED_VALUE"""),"inactivité 1ère année")</f>
        <v>inactivité 1ère année</v>
      </c>
    </row>
    <row r="110" spans="1:8" ht="12.75">
      <c r="A110" s="46">
        <f ca="1">IFERROR(__xludf.DUMMYFUNCTION("""COMPUTED_VALUE"""),98)</f>
        <v>98</v>
      </c>
      <c r="B110" s="65" t="str">
        <f ca="1">IFERROR(__xludf.DUMMYFUNCTION("""COMPUTED_VALUE"""),"888252")</f>
        <v>888252</v>
      </c>
      <c r="C110" s="48" t="str">
        <f ca="1">IFERROR(__xludf.DUMMYFUNCTION("""COMPUTED_VALUE"""),"ETIENNE")</f>
        <v>ETIENNE</v>
      </c>
      <c r="D110" s="48" t="str">
        <f ca="1">IFERROR(__xludf.DUMMYFUNCTION("""COMPUTED_VALUE"""),"Celine")</f>
        <v>Celine</v>
      </c>
      <c r="E110" s="49" t="str">
        <f ca="1">IFERROR(__xludf.DUMMYFUNCTION("""COMPUTED_VALUE"""),"06880123")</f>
        <v>06880123</v>
      </c>
      <c r="F110" s="48" t="str">
        <f ca="1">IFERROR(__xludf.DUMMYFUNCTION("""COMPUTED_VALUE"""),"ETIVAL ASRTT")</f>
        <v>ETIVAL ASRTT</v>
      </c>
      <c r="G110" s="50" t="str">
        <f ca="1">IFERROR(__xludf.DUMMYFUNCTION("""COMPUTED_VALUE"""),"CD88")</f>
        <v>CD88</v>
      </c>
      <c r="H110" s="50" t="str">
        <f ca="1">IFERROR(__xludf.DUMMYFUNCTION("""COMPUTED_VALUE"""),"inactivité 1ère année")</f>
        <v>inactivité 1ère année</v>
      </c>
    </row>
    <row r="111" spans="1:8" ht="12.75">
      <c r="A111" s="46">
        <f ca="1">IFERROR(__xludf.DUMMYFUNCTION("""COMPUTED_VALUE"""),99)</f>
        <v>99</v>
      </c>
      <c r="B111" s="65" t="str">
        <f ca="1">IFERROR(__xludf.DUMMYFUNCTION("""COMPUTED_VALUE"""),"5711210")</f>
        <v>5711210</v>
      </c>
      <c r="C111" s="48" t="str">
        <f ca="1">IFERROR(__xludf.DUMMYFUNCTION("""COMPUTED_VALUE"""),"EWIG")</f>
        <v>EWIG</v>
      </c>
      <c r="D111" s="48" t="str">
        <f ca="1">IFERROR(__xludf.DUMMYFUNCTION("""COMPUTED_VALUE"""),"Kevin")</f>
        <v>Kevin</v>
      </c>
      <c r="E111" s="49" t="str">
        <f ca="1">IFERROR(__xludf.DUMMYFUNCTION("""COMPUTED_VALUE"""),"06570070")</f>
        <v>06570070</v>
      </c>
      <c r="F111" s="48" t="str">
        <f ca="1">IFERROR(__xludf.DUMMYFUNCTION("""COMPUTED_VALUE"""),"AMNEVILLE Tennis de Table")</f>
        <v>AMNEVILLE Tennis de Table</v>
      </c>
      <c r="G111" s="50" t="str">
        <f ca="1">IFERROR(__xludf.DUMMYFUNCTION("""COMPUTED_VALUE"""),"CD57")</f>
        <v>CD57</v>
      </c>
      <c r="H111" s="50" t="str">
        <f ca="1">IFERROR(__xludf.DUMMYFUNCTION("""COMPUTED_VALUE"""),"inactivité 1ère année")</f>
        <v>inactivité 1ère année</v>
      </c>
    </row>
    <row r="112" spans="1:8" ht="12.75">
      <c r="A112" s="46">
        <f ca="1">IFERROR(__xludf.DUMMYFUNCTION("""COMPUTED_VALUE"""),100)</f>
        <v>100</v>
      </c>
      <c r="B112" s="65" t="str">
        <f ca="1">IFERROR(__xludf.DUMMYFUNCTION("""COMPUTED_VALUE"""),"8816282")</f>
        <v>8816282</v>
      </c>
      <c r="C112" s="48" t="str">
        <f ca="1">IFERROR(__xludf.DUMMYFUNCTION("""COMPUTED_VALUE"""),"FALEYEUX")</f>
        <v>FALEYEUX</v>
      </c>
      <c r="D112" s="48" t="str">
        <f ca="1">IFERROR(__xludf.DUMMYFUNCTION("""COMPUTED_VALUE"""),"Eric")</f>
        <v>Eric</v>
      </c>
      <c r="E112" s="49" t="str">
        <f ca="1">IFERROR(__xludf.DUMMYFUNCTION("""COMPUTED_VALUE"""),"06880073")</f>
        <v>06880073</v>
      </c>
      <c r="F112" s="48" t="str">
        <f ca="1">IFERROR(__xludf.DUMMYFUNCTION("""COMPUTED_VALUE"""),"SAINTE MARGUERITE C.T.T.")</f>
        <v>SAINTE MARGUERITE C.T.T.</v>
      </c>
      <c r="G112" s="50" t="str">
        <f ca="1">IFERROR(__xludf.DUMMYFUNCTION("""COMPUTED_VALUE"""),"CD88")</f>
        <v>CD88</v>
      </c>
      <c r="H112" s="50" t="str">
        <f ca="1">IFERROR(__xludf.DUMMYFUNCTION("""COMPUTED_VALUE"""),"inactivité 1ère année")</f>
        <v>inactivité 1ère année</v>
      </c>
    </row>
    <row r="113" spans="1:8" ht="12.75">
      <c r="A113" s="46">
        <f ca="1">IFERROR(__xludf.DUMMYFUNCTION("""COMPUTED_VALUE"""),101)</f>
        <v>101</v>
      </c>
      <c r="B113" s="65" t="str">
        <f ca="1">IFERROR(__xludf.DUMMYFUNCTION("""COMPUTED_VALUE"""),"5427902")</f>
        <v>5427902</v>
      </c>
      <c r="C113" s="48" t="str">
        <f ca="1">IFERROR(__xludf.DUMMYFUNCTION("""COMPUTED_VALUE"""),"FAYS")</f>
        <v>FAYS</v>
      </c>
      <c r="D113" s="48" t="str">
        <f ca="1">IFERROR(__xludf.DUMMYFUNCTION("""COMPUTED_VALUE"""),"Xavier")</f>
        <v>Xavier</v>
      </c>
      <c r="E113" s="49" t="str">
        <f ca="1">IFERROR(__xludf.DUMMYFUNCTION("""COMPUTED_VALUE"""),"06540082")</f>
        <v>06540082</v>
      </c>
      <c r="F113" s="48" t="str">
        <f ca="1">IFERROR(__xludf.DUMMYFUNCTION("""COMPUTED_VALUE"""),"LUDRES FLAVIGNY TT")</f>
        <v>LUDRES FLAVIGNY TT</v>
      </c>
      <c r="G113" s="50" t="str">
        <f ca="1">IFERROR(__xludf.DUMMYFUNCTION("""COMPUTED_VALUE"""),"CD54")</f>
        <v>CD54</v>
      </c>
      <c r="H113" s="50" t="str">
        <f ca="1">IFERROR(__xludf.DUMMYFUNCTION("""COMPUTED_VALUE"""),"inactivité 1ère année")</f>
        <v>inactivité 1ère année</v>
      </c>
    </row>
    <row r="114" spans="1:8" ht="12.75">
      <c r="A114" s="46">
        <f ca="1">IFERROR(__xludf.DUMMYFUNCTION("""COMPUTED_VALUE"""),102)</f>
        <v>102</v>
      </c>
      <c r="B114" s="65" t="str">
        <f ca="1">IFERROR(__xludf.DUMMYFUNCTION("""COMPUTED_VALUE"""),"8819400")</f>
        <v>8819400</v>
      </c>
      <c r="C114" s="48" t="str">
        <f ca="1">IFERROR(__xludf.DUMMYFUNCTION("""COMPUTED_VALUE"""),"FEICHT")</f>
        <v>FEICHT</v>
      </c>
      <c r="D114" s="48" t="str">
        <f ca="1">IFERROR(__xludf.DUMMYFUNCTION("""COMPUTED_VALUE"""),"Michel")</f>
        <v>Michel</v>
      </c>
      <c r="E114" s="49" t="str">
        <f ca="1">IFERROR(__xludf.DUMMYFUNCTION("""COMPUTED_VALUE"""),"06880083")</f>
        <v>06880083</v>
      </c>
      <c r="F114" s="48" t="str">
        <f ca="1">IFERROR(__xludf.DUMMYFUNCTION("""COMPUTED_VALUE"""),"XONRUPT A.S.C.X.L. T.T.")</f>
        <v>XONRUPT A.S.C.X.L. T.T.</v>
      </c>
      <c r="G114" s="50" t="str">
        <f ca="1">IFERROR(__xludf.DUMMYFUNCTION("""COMPUTED_VALUE"""),"CD88")</f>
        <v>CD88</v>
      </c>
      <c r="H114" s="50" t="str">
        <f ca="1">IFERROR(__xludf.DUMMYFUNCTION("""COMPUTED_VALUE"""),"actif")</f>
        <v>actif</v>
      </c>
    </row>
    <row r="115" spans="1:8" ht="12.75">
      <c r="A115" s="46">
        <f ca="1">IFERROR(__xludf.DUMMYFUNCTION("""COMPUTED_VALUE"""),103)</f>
        <v>103</v>
      </c>
      <c r="B115" s="65" t="str">
        <f ca="1">IFERROR(__xludf.DUMMYFUNCTION("""COMPUTED_VALUE"""),"839000")</f>
        <v>839000</v>
      </c>
      <c r="C115" s="48" t="str">
        <f ca="1">IFERROR(__xludf.DUMMYFUNCTION("""COMPUTED_VALUE"""),"FESSARD")</f>
        <v>FESSARD</v>
      </c>
      <c r="D115" s="48" t="str">
        <f ca="1">IFERROR(__xludf.DUMMYFUNCTION("""COMPUTED_VALUE"""),"Stephane")</f>
        <v>Stephane</v>
      </c>
      <c r="E115" s="49" t="str">
        <f ca="1">IFERROR(__xludf.DUMMYFUNCTION("""COMPUTED_VALUE"""),"06100005")</f>
        <v>06100005</v>
      </c>
      <c r="F115" s="48" t="str">
        <f ca="1">IFERROR(__xludf.DUMMYFUNCTION("""COMPUTED_VALUE"""),"ROMILLY SPORTS 10")</f>
        <v>ROMILLY SPORTS 10</v>
      </c>
      <c r="G115" s="50" t="str">
        <f ca="1">IFERROR(__xludf.DUMMYFUNCTION("""COMPUTED_VALUE"""),"CD10")</f>
        <v>CD10</v>
      </c>
      <c r="H115" s="50" t="str">
        <f ca="1">IFERROR(__xludf.DUMMYFUNCTION("""COMPUTED_VALUE"""),"inactivité 1ère année")</f>
        <v>inactivité 1ère année</v>
      </c>
    </row>
    <row r="116" spans="1:8" ht="12.75">
      <c r="A116" s="46">
        <f ca="1">IFERROR(__xludf.DUMMYFUNCTION("""COMPUTED_VALUE"""),104)</f>
        <v>104</v>
      </c>
      <c r="B116" s="65" t="str">
        <f ca="1">IFERROR(__xludf.DUMMYFUNCTION("""COMPUTED_VALUE"""),"103080")</f>
        <v>103080</v>
      </c>
      <c r="C116" s="48" t="str">
        <f ca="1">IFERROR(__xludf.DUMMYFUNCTION("""COMPUTED_VALUE"""),"FIOL")</f>
        <v>FIOL</v>
      </c>
      <c r="D116" s="48" t="str">
        <f ca="1">IFERROR(__xludf.DUMMYFUNCTION("""COMPUTED_VALUE"""),"Julien")</f>
        <v>Julien</v>
      </c>
      <c r="E116" s="49" t="str">
        <f ca="1">IFERROR(__xludf.DUMMYFUNCTION("""COMPUTED_VALUE"""),"06100032")</f>
        <v>06100032</v>
      </c>
      <c r="F116" s="48" t="str">
        <f ca="1">IFERROR(__xludf.DUMMYFUNCTION("""COMPUTED_VALUE"""),"SAINT ANDRE ASTT Dryate")</f>
        <v>SAINT ANDRE ASTT Dryate</v>
      </c>
      <c r="G116" s="50" t="str">
        <f ca="1">IFERROR(__xludf.DUMMYFUNCTION("""COMPUTED_VALUE"""),"CD10")</f>
        <v>CD10</v>
      </c>
      <c r="H116" s="50" t="str">
        <f ca="1">IFERROR(__xludf.DUMMYFUNCTION("""COMPUTED_VALUE"""),"inactivité 1ère année")</f>
        <v>inactivité 1ère année</v>
      </c>
    </row>
    <row r="117" spans="1:8" ht="12.75">
      <c r="A117" s="46">
        <f ca="1">IFERROR(__xludf.DUMMYFUNCTION("""COMPUTED_VALUE"""),105)</f>
        <v>105</v>
      </c>
      <c r="B117" s="65" t="str">
        <f ca="1">IFERROR(__xludf.DUMMYFUNCTION("""COMPUTED_VALUE"""),"67407")</f>
        <v>67407</v>
      </c>
      <c r="C117" s="48" t="str">
        <f ca="1">IFERROR(__xludf.DUMMYFUNCTION("""COMPUTED_VALUE"""),"FISCHER")</f>
        <v>FISCHER</v>
      </c>
      <c r="D117" s="48" t="str">
        <f ca="1">IFERROR(__xludf.DUMMYFUNCTION("""COMPUTED_VALUE"""),"Antoine")</f>
        <v>Antoine</v>
      </c>
      <c r="E117" s="49" t="str">
        <f ca="1">IFERROR(__xludf.DUMMYFUNCTION("""COMPUTED_VALUE"""),"06670027")</f>
        <v>06670027</v>
      </c>
      <c r="F117" s="48" t="str">
        <f ca="1">IFERROR(__xludf.DUMMYFUNCTION("""COMPUTED_VALUE"""),"ROSHEIM CA")</f>
        <v>ROSHEIM CA</v>
      </c>
      <c r="G117" s="50" t="str">
        <f ca="1">IFERROR(__xludf.DUMMYFUNCTION("""COMPUTED_VALUE"""),"CD67")</f>
        <v>CD67</v>
      </c>
      <c r="H117" s="50" t="str">
        <f ca="1">IFERROR(__xludf.DUMMYFUNCTION("""COMPUTED_VALUE"""),"inactivité 2ème année")</f>
        <v>inactivité 2ème année</v>
      </c>
    </row>
    <row r="118" spans="1:8" ht="12.75">
      <c r="A118" s="46">
        <f ca="1">IFERROR(__xludf.DUMMYFUNCTION("""COMPUTED_VALUE"""),106)</f>
        <v>106</v>
      </c>
      <c r="B118" s="65" t="str">
        <f ca="1">IFERROR(__xludf.DUMMYFUNCTION("""COMPUTED_VALUE"""),"6732")</f>
        <v>6732</v>
      </c>
      <c r="C118" s="48" t="str">
        <f ca="1">IFERROR(__xludf.DUMMYFUNCTION("""COMPUTED_VALUE"""),"FLECK")</f>
        <v>FLECK</v>
      </c>
      <c r="D118" s="48" t="str">
        <f ca="1">IFERROR(__xludf.DUMMYFUNCTION("""COMPUTED_VALUE"""),"Claude")</f>
        <v>Claude</v>
      </c>
      <c r="E118" s="49" t="str">
        <f ca="1">IFERROR(__xludf.DUMMYFUNCTION("""COMPUTED_VALUE"""),"06670002")</f>
        <v>06670002</v>
      </c>
      <c r="F118" s="48" t="str">
        <f ca="1">IFERROR(__xludf.DUMMYFUNCTION("""COMPUTED_VALUE"""),"STRASBOURG ST JEAN CS 1852")</f>
        <v>STRASBOURG ST JEAN CS 1852</v>
      </c>
      <c r="G118" s="50" t="str">
        <f ca="1">IFERROR(__xludf.DUMMYFUNCTION("""COMPUTED_VALUE"""),"CD67")</f>
        <v>CD67</v>
      </c>
      <c r="H118" s="50" t="str">
        <f ca="1">IFERROR(__xludf.DUMMYFUNCTION("""COMPUTED_VALUE"""),"inactivité 2ème année")</f>
        <v>inactivité 2ème année</v>
      </c>
    </row>
    <row r="119" spans="1:8" ht="12.75">
      <c r="A119" s="46">
        <f ca="1">IFERROR(__xludf.DUMMYFUNCTION("""COMPUTED_VALUE"""),107)</f>
        <v>107</v>
      </c>
      <c r="B119" s="65" t="str">
        <f ca="1">IFERROR(__xludf.DUMMYFUNCTION("""COMPUTED_VALUE"""),"573670")</f>
        <v>573670</v>
      </c>
      <c r="C119" s="48" t="str">
        <f ca="1">IFERROR(__xludf.DUMMYFUNCTION("""COMPUTED_VALUE"""),"FLOTTE")</f>
        <v>FLOTTE</v>
      </c>
      <c r="D119" s="48" t="str">
        <f ca="1">IFERROR(__xludf.DUMMYFUNCTION("""COMPUTED_VALUE"""),"Didier")</f>
        <v>Didier</v>
      </c>
      <c r="E119" s="49" t="str">
        <f ca="1">IFERROR(__xludf.DUMMYFUNCTION("""COMPUTED_VALUE"""),"06570190")</f>
        <v>06570190</v>
      </c>
      <c r="F119" s="48" t="str">
        <f ca="1">IFERROR(__xludf.DUMMYFUNCTION("""COMPUTED_VALUE"""),"METZ Tennis de Table")</f>
        <v>METZ Tennis de Table</v>
      </c>
      <c r="G119" s="50" t="str">
        <f ca="1">IFERROR(__xludf.DUMMYFUNCTION("""COMPUTED_VALUE"""),"CD57")</f>
        <v>CD57</v>
      </c>
      <c r="H119" s="50" t="str">
        <f ca="1">IFERROR(__xludf.DUMMYFUNCTION("""COMPUTED_VALUE"""),"inactivité 2ème année")</f>
        <v>inactivité 2ème année</v>
      </c>
    </row>
    <row r="120" spans="1:8" ht="12.75">
      <c r="A120" s="46">
        <f ca="1">IFERROR(__xludf.DUMMYFUNCTION("""COMPUTED_VALUE"""),108)</f>
        <v>108</v>
      </c>
      <c r="B120" s="65" t="str">
        <f ca="1">IFERROR(__xludf.DUMMYFUNCTION("""COMPUTED_VALUE"""),"679605")</f>
        <v>679605</v>
      </c>
      <c r="C120" s="48" t="str">
        <f ca="1">IFERROR(__xludf.DUMMYFUNCTION("""COMPUTED_VALUE"""),"FLUCK")</f>
        <v>FLUCK</v>
      </c>
      <c r="D120" s="48" t="str">
        <f ca="1">IFERROR(__xludf.DUMMYFUNCTION("""COMPUTED_VALUE"""),"Laurent")</f>
        <v>Laurent</v>
      </c>
      <c r="E120" s="49" t="str">
        <f ca="1">IFERROR(__xludf.DUMMYFUNCTION("""COMPUTED_VALUE"""),"06670257")</f>
        <v>06670257</v>
      </c>
      <c r="F120" s="48" t="str">
        <f ca="1">IFERROR(__xludf.DUMMYFUNCTION("""COMPUTED_VALUE"""),"AMICALE PONGISTE WOLXHEIM")</f>
        <v>AMICALE PONGISTE WOLXHEIM</v>
      </c>
      <c r="G120" s="50" t="str">
        <f ca="1">IFERROR(__xludf.DUMMYFUNCTION("""COMPUTED_VALUE"""),"CD67")</f>
        <v>CD67</v>
      </c>
      <c r="H120" s="50" t="str">
        <f ca="1">IFERROR(__xludf.DUMMYFUNCTION("""COMPUTED_VALUE"""),"inactivité 3ème année")</f>
        <v>inactivité 3ème année</v>
      </c>
    </row>
    <row r="121" spans="1:8" ht="12.75">
      <c r="A121" s="46">
        <f ca="1">IFERROR(__xludf.DUMMYFUNCTION("""COMPUTED_VALUE"""),109)</f>
        <v>109</v>
      </c>
      <c r="B121" s="65" t="str">
        <f ca="1">IFERROR(__xludf.DUMMYFUNCTION("""COMPUTED_VALUE"""),"5418014")</f>
        <v>5418014</v>
      </c>
      <c r="C121" s="48" t="str">
        <f ca="1">IFERROR(__xludf.DUMMYFUNCTION("""COMPUTED_VALUE"""),"FRANCOIS")</f>
        <v>FRANCOIS</v>
      </c>
      <c r="D121" s="48" t="str">
        <f ca="1">IFERROR(__xludf.DUMMYFUNCTION("""COMPUTED_VALUE"""),"Arnaud")</f>
        <v>Arnaud</v>
      </c>
      <c r="E121" s="49" t="str">
        <f ca="1">IFERROR(__xludf.DUMMYFUNCTION("""COMPUTED_VALUE"""),"06880066")</f>
        <v>06880066</v>
      </c>
      <c r="F121" s="48" t="str">
        <f ca="1">IFERROR(__xludf.DUMMYFUNCTION("""COMPUTED_VALUE"""),"ELOYES C.L.L.T.T.")</f>
        <v>ELOYES C.L.L.T.T.</v>
      </c>
      <c r="G121" s="50" t="str">
        <f ca="1">IFERROR(__xludf.DUMMYFUNCTION("""COMPUTED_VALUE"""),"CD88")</f>
        <v>CD88</v>
      </c>
      <c r="H121" s="50" t="str">
        <f ca="1">IFERROR(__xludf.DUMMYFUNCTION("""COMPUTED_VALUE"""),"inactivité 1ère année")</f>
        <v>inactivité 1ère année</v>
      </c>
    </row>
    <row r="122" spans="1:8" ht="12.75">
      <c r="A122" s="46">
        <f ca="1">IFERROR(__xludf.DUMMYFUNCTION("""COMPUTED_VALUE"""),110)</f>
        <v>110</v>
      </c>
      <c r="B122" s="65" t="str">
        <f ca="1">IFERROR(__xludf.DUMMYFUNCTION("""COMPUTED_VALUE"""),"6715250")</f>
        <v>6715250</v>
      </c>
      <c r="C122" s="48" t="str">
        <f ca="1">IFERROR(__xludf.DUMMYFUNCTION("""COMPUTED_VALUE"""),"FRESCH")</f>
        <v>FRESCH</v>
      </c>
      <c r="D122" s="48" t="str">
        <f ca="1">IFERROR(__xludf.DUMMYFUNCTION("""COMPUTED_VALUE"""),"Florentin")</f>
        <v>Florentin</v>
      </c>
      <c r="E122" s="49" t="str">
        <f ca="1">IFERROR(__xludf.DUMMYFUNCTION("""COMPUTED_VALUE"""),"06670221")</f>
        <v>06670221</v>
      </c>
      <c r="F122" s="48" t="str">
        <f ca="1">IFERROR(__xludf.DUMMYFUNCTION("""COMPUTED_VALUE"""),"BARR Tennis de Table")</f>
        <v>BARR Tennis de Table</v>
      </c>
      <c r="G122" s="50" t="str">
        <f ca="1">IFERROR(__xludf.DUMMYFUNCTION("""COMPUTED_VALUE"""),"CD67")</f>
        <v>CD67</v>
      </c>
      <c r="H122" s="50" t="str">
        <f ca="1">IFERROR(__xludf.DUMMYFUNCTION("""COMPUTED_VALUE"""),"inactivité 1ère année")</f>
        <v>inactivité 1ère année</v>
      </c>
    </row>
    <row r="123" spans="1:8" ht="12.75">
      <c r="A123" s="46">
        <f ca="1">IFERROR(__xludf.DUMMYFUNCTION("""COMPUTED_VALUE"""),111)</f>
        <v>111</v>
      </c>
      <c r="B123" s="66" t="str">
        <f ca="1">IFERROR(__xludf.DUMMYFUNCTION("""COMPUTED_VALUE"""),"883146")</f>
        <v>883146</v>
      </c>
      <c r="C123" s="67" t="str">
        <f ca="1">IFERROR(__xludf.DUMMYFUNCTION("""COMPUTED_VALUE"""),"FRITSCH")</f>
        <v>FRITSCH</v>
      </c>
      <c r="D123" s="68" t="str">
        <f ca="1">IFERROR(__xludf.DUMMYFUNCTION("""COMPUTED_VALUE"""),"Joel")</f>
        <v>Joel</v>
      </c>
      <c r="E123" s="69" t="str">
        <f ca="1">IFERROR(__xludf.DUMMYFUNCTION("""COMPUTED_VALUE"""),"06880145")</f>
        <v>06880145</v>
      </c>
      <c r="F123" s="68" t="str">
        <f ca="1">IFERROR(__xludf.DUMMYFUNCTION("""COMPUTED_VALUE"""),"THAON CHENIMENIL E.S.T.T.")</f>
        <v>THAON CHENIMENIL E.S.T.T.</v>
      </c>
      <c r="G123" s="50" t="str">
        <f ca="1">IFERROR(__xludf.DUMMYFUNCTION("""COMPUTED_VALUE"""),"CD88")</f>
        <v>CD88</v>
      </c>
      <c r="H123" s="51" t="str">
        <f ca="1">IFERROR(__xludf.DUMMYFUNCTION("""COMPUTED_VALUE"""),"inactivité 2ème année")</f>
        <v>inactivité 2ème année</v>
      </c>
    </row>
    <row r="124" spans="1:8" ht="12.75">
      <c r="A124" s="46">
        <f ca="1">IFERROR(__xludf.DUMMYFUNCTION("""COMPUTED_VALUE"""),112)</f>
        <v>112</v>
      </c>
      <c r="B124" s="65" t="str">
        <f ca="1">IFERROR(__xludf.DUMMYFUNCTION("""COMPUTED_VALUE"""),"57263")</f>
        <v>57263</v>
      </c>
      <c r="C124" s="48" t="str">
        <f ca="1">IFERROR(__xludf.DUMMYFUNCTION("""COMPUTED_VALUE"""),"GABRIEL")</f>
        <v>GABRIEL</v>
      </c>
      <c r="D124" s="48" t="str">
        <f ca="1">IFERROR(__xludf.DUMMYFUNCTION("""COMPUTED_VALUE"""),"Michele")</f>
        <v>Michele</v>
      </c>
      <c r="E124" s="49" t="str">
        <f ca="1">IFERROR(__xludf.DUMMYFUNCTION("""COMPUTED_VALUE"""),"06570018")</f>
        <v>06570018</v>
      </c>
      <c r="F124" s="48" t="str">
        <f ca="1">IFERROR(__xludf.DUMMYFUNCTION("""COMPUTED_VALUE"""),"OBERGAILBACH U.P.")</f>
        <v>OBERGAILBACH U.P.</v>
      </c>
      <c r="G124" s="50" t="str">
        <f ca="1">IFERROR(__xludf.DUMMYFUNCTION("""COMPUTED_VALUE"""),"CD57")</f>
        <v>CD57</v>
      </c>
      <c r="H124" s="50" t="str">
        <f ca="1">IFERROR(__xludf.DUMMYFUNCTION("""COMPUTED_VALUE"""),"inactivité 1ère année")</f>
        <v>inactivité 1ère année</v>
      </c>
    </row>
    <row r="125" spans="1:8" ht="12.75">
      <c r="A125" s="46">
        <f ca="1">IFERROR(__xludf.DUMMYFUNCTION("""COMPUTED_VALUE"""),113)</f>
        <v>113</v>
      </c>
      <c r="B125" s="65" t="str">
        <f ca="1">IFERROR(__xludf.DUMMYFUNCTION("""COMPUTED_VALUE"""),"5112702")</f>
        <v>5112702</v>
      </c>
      <c r="C125" s="48" t="str">
        <f ca="1">IFERROR(__xludf.DUMMYFUNCTION("""COMPUTED_VALUE"""),"GAIGNER")</f>
        <v>GAIGNER</v>
      </c>
      <c r="D125" s="48" t="str">
        <f ca="1">IFERROR(__xludf.DUMMYFUNCTION("""COMPUTED_VALUE"""),"Florian")</f>
        <v>Florian</v>
      </c>
      <c r="E125" s="49" t="str">
        <f ca="1">IFERROR(__xludf.DUMMYFUNCTION("""COMPUTED_VALUE"""),"06510001")</f>
        <v>06510001</v>
      </c>
      <c r="F125" s="48" t="str">
        <f ca="1">IFERROR(__xludf.DUMMYFUNCTION("""COMPUTED_VALUE"""),"REIMS OLYMPIQUE TT")</f>
        <v>REIMS OLYMPIQUE TT</v>
      </c>
      <c r="G125" s="50" t="str">
        <f ca="1">IFERROR(__xludf.DUMMYFUNCTION("""COMPUTED_VALUE"""),"CD51")</f>
        <v>CD51</v>
      </c>
      <c r="H125" s="50" t="str">
        <f ca="1">IFERROR(__xludf.DUMMYFUNCTION("""COMPUTED_VALUE"""),"inactivité 1ère année")</f>
        <v>inactivité 1ère année</v>
      </c>
    </row>
    <row r="126" spans="1:8" ht="12.75">
      <c r="A126" s="46">
        <f ca="1">IFERROR(__xludf.DUMMYFUNCTION("""COMPUTED_VALUE"""),114)</f>
        <v>114</v>
      </c>
      <c r="B126" s="65" t="str">
        <f ca="1">IFERROR(__xludf.DUMMYFUNCTION("""COMPUTED_VALUE"""),"10398")</f>
        <v>10398</v>
      </c>
      <c r="C126" s="48" t="str">
        <f ca="1">IFERROR(__xludf.DUMMYFUNCTION("""COMPUTED_VALUE"""),"GALLOIS")</f>
        <v>GALLOIS</v>
      </c>
      <c r="D126" s="48" t="str">
        <f ca="1">IFERROR(__xludf.DUMMYFUNCTION("""COMPUTED_VALUE"""),"Yves")</f>
        <v>Yves</v>
      </c>
      <c r="E126" s="49" t="str">
        <f ca="1">IFERROR(__xludf.DUMMYFUNCTION("""COMPUTED_VALUE"""),"06100021")</f>
        <v>06100021</v>
      </c>
      <c r="F126" s="48" t="str">
        <f ca="1">IFERROR(__xludf.DUMMYFUNCTION("""COMPUTED_VALUE"""),"ARCIS ASATT")</f>
        <v>ARCIS ASATT</v>
      </c>
      <c r="G126" s="50" t="str">
        <f ca="1">IFERROR(__xludf.DUMMYFUNCTION("""COMPUTED_VALUE"""),"CD10")</f>
        <v>CD10</v>
      </c>
      <c r="H126" s="50" t="str">
        <f ca="1">IFERROR(__xludf.DUMMYFUNCTION("""COMPUTED_VALUE"""),"inactivité 3ème année")</f>
        <v>inactivité 3ème année</v>
      </c>
    </row>
    <row r="127" spans="1:8" ht="12.75">
      <c r="A127" s="46">
        <f ca="1">IFERROR(__xludf.DUMMYFUNCTION("""COMPUTED_VALUE"""),115)</f>
        <v>115</v>
      </c>
      <c r="B127" s="65" t="str">
        <f ca="1">IFERROR(__xludf.DUMMYFUNCTION("""COMPUTED_VALUE"""),"102084")</f>
        <v>102084</v>
      </c>
      <c r="C127" s="48" t="str">
        <f ca="1">IFERROR(__xludf.DUMMYFUNCTION("""COMPUTED_VALUE"""),"GANDON")</f>
        <v>GANDON</v>
      </c>
      <c r="D127" s="48" t="str">
        <f ca="1">IFERROR(__xludf.DUMMYFUNCTION("""COMPUTED_VALUE"""),"Cyrille")</f>
        <v>Cyrille</v>
      </c>
      <c r="E127" s="49" t="str">
        <f ca="1">IFERROR(__xludf.DUMMYFUNCTION("""COMPUTED_VALUE"""),"06100040")</f>
        <v>06100040</v>
      </c>
      <c r="F127" s="48" t="str">
        <f ca="1">IFERROR(__xludf.DUMMYFUNCTION("""COMPUTED_VALUE"""),"ROMILLY-VILLENAUXE CAP")</f>
        <v>ROMILLY-VILLENAUXE CAP</v>
      </c>
      <c r="G127" s="50" t="str">
        <f ca="1">IFERROR(__xludf.DUMMYFUNCTION("""COMPUTED_VALUE"""),"CD10")</f>
        <v>CD10</v>
      </c>
      <c r="H127" s="50" t="str">
        <f ca="1">IFERROR(__xludf.DUMMYFUNCTION("""COMPUTED_VALUE"""),"inactivité 1ère année")</f>
        <v>inactivité 1ère année</v>
      </c>
    </row>
    <row r="128" spans="1:8" ht="12.75">
      <c r="A128" s="46">
        <f ca="1">IFERROR(__xludf.DUMMYFUNCTION("""COMPUTED_VALUE"""),116)</f>
        <v>116</v>
      </c>
      <c r="B128" s="65" t="str">
        <f ca="1">IFERROR(__xludf.DUMMYFUNCTION("""COMPUTED_VALUE"""),"0812547")</f>
        <v>0812547</v>
      </c>
      <c r="C128" s="48" t="str">
        <f ca="1">IFERROR(__xludf.DUMMYFUNCTION("""COMPUTED_VALUE"""),"GAUDION")</f>
        <v>GAUDION</v>
      </c>
      <c r="D128" s="48" t="str">
        <f ca="1">IFERROR(__xludf.DUMMYFUNCTION("""COMPUTED_VALUE"""),"Eric")</f>
        <v>Eric</v>
      </c>
      <c r="E128" s="49" t="str">
        <f ca="1">IFERROR(__xludf.DUMMYFUNCTION("""COMPUTED_VALUE"""),"06080035")</f>
        <v>06080035</v>
      </c>
      <c r="F128" s="48" t="str">
        <f ca="1">IFERROR(__xludf.DUMMYFUNCTION("""COMPUTED_VALUE"""),"CHARLEVILLE MEZIERES ARDENNES TT")</f>
        <v>CHARLEVILLE MEZIERES ARDENNES TT</v>
      </c>
      <c r="G128" s="50" t="str">
        <f ca="1">IFERROR(__xludf.DUMMYFUNCTION("""COMPUTED_VALUE"""),"CD08")</f>
        <v>CD08</v>
      </c>
      <c r="H128" s="50" t="str">
        <f ca="1">IFERROR(__xludf.DUMMYFUNCTION("""COMPUTED_VALUE"""),"actif")</f>
        <v>actif</v>
      </c>
    </row>
    <row r="129" spans="1:8" ht="12.75">
      <c r="A129" s="46">
        <f ca="1">IFERROR(__xludf.DUMMYFUNCTION("""COMPUTED_VALUE"""),117)</f>
        <v>117</v>
      </c>
      <c r="B129" s="65" t="str">
        <f ca="1">IFERROR(__xludf.DUMMYFUNCTION("""COMPUTED_VALUE"""),"5411591")</f>
        <v>5411591</v>
      </c>
      <c r="C129" s="48" t="str">
        <f ca="1">IFERROR(__xludf.DUMMYFUNCTION("""COMPUTED_VALUE"""),"GAUTHIER")</f>
        <v>GAUTHIER</v>
      </c>
      <c r="D129" s="48" t="str">
        <f ca="1">IFERROR(__xludf.DUMMYFUNCTION("""COMPUTED_VALUE"""),"Dominique")</f>
        <v>Dominique</v>
      </c>
      <c r="E129" s="49" t="str">
        <f ca="1">IFERROR(__xludf.DUMMYFUNCTION("""COMPUTED_VALUE"""),"06540008")</f>
        <v>06540008</v>
      </c>
      <c r="F129" s="48" t="str">
        <f ca="1">IFERROR(__xludf.DUMMYFUNCTION("""COMPUTED_VALUE"""),"ESSEY-SEICHAMPS T.T.")</f>
        <v>ESSEY-SEICHAMPS T.T.</v>
      </c>
      <c r="G129" s="50" t="str">
        <f ca="1">IFERROR(__xludf.DUMMYFUNCTION("""COMPUTED_VALUE"""),"CD54")</f>
        <v>CD54</v>
      </c>
      <c r="H129" s="50" t="str">
        <f ca="1">IFERROR(__xludf.DUMMYFUNCTION("""COMPUTED_VALUE"""),"inactivité 1ère année")</f>
        <v>inactivité 1ère année</v>
      </c>
    </row>
    <row r="130" spans="1:8" ht="12.75">
      <c r="A130" s="46">
        <f ca="1">IFERROR(__xludf.DUMMYFUNCTION("""COMPUTED_VALUE"""),118)</f>
        <v>118</v>
      </c>
      <c r="B130" s="65" t="str">
        <f ca="1">IFERROR(__xludf.DUMMYFUNCTION("""COMPUTED_VALUE"""),"54433")</f>
        <v>54433</v>
      </c>
      <c r="C130" s="48" t="str">
        <f ca="1">IFERROR(__xludf.DUMMYFUNCTION("""COMPUTED_VALUE"""),"GEOFFROY")</f>
        <v>GEOFFROY</v>
      </c>
      <c r="D130" s="48" t="str">
        <f ca="1">IFERROR(__xludf.DUMMYFUNCTION("""COMPUTED_VALUE"""),"Alain")</f>
        <v>Alain</v>
      </c>
      <c r="E130" s="49" t="str">
        <f ca="1">IFERROR(__xludf.DUMMYFUNCTION("""COMPUTED_VALUE"""),"06540020")</f>
        <v>06540020</v>
      </c>
      <c r="F130" s="48" t="str">
        <f ca="1">IFERROR(__xludf.DUMMYFUNCTION("""COMPUTED_VALUE"""),"DOMBASLE STT")</f>
        <v>DOMBASLE STT</v>
      </c>
      <c r="G130" s="50" t="str">
        <f ca="1">IFERROR(__xludf.DUMMYFUNCTION("""COMPUTED_VALUE"""),"CD54")</f>
        <v>CD54</v>
      </c>
      <c r="H130" s="50" t="str">
        <f ca="1">IFERROR(__xludf.DUMMYFUNCTION("""COMPUTED_VALUE"""),"inactivité 2ème année")</f>
        <v>inactivité 2ème année</v>
      </c>
    </row>
    <row r="131" spans="1:8" ht="12.75">
      <c r="A131" s="46">
        <f ca="1">IFERROR(__xludf.DUMMYFUNCTION("""COMPUTED_VALUE"""),119)</f>
        <v>119</v>
      </c>
      <c r="B131" s="65" t="str">
        <f ca="1">IFERROR(__xludf.DUMMYFUNCTION("""COMPUTED_VALUE"""),"889331")</f>
        <v>889331</v>
      </c>
      <c r="C131" s="48" t="str">
        <f ca="1">IFERROR(__xludf.DUMMYFUNCTION("""COMPUTED_VALUE"""),"GEORGES")</f>
        <v>GEORGES</v>
      </c>
      <c r="D131" s="48" t="str">
        <f ca="1">IFERROR(__xludf.DUMMYFUNCTION("""COMPUTED_VALUE"""),"Alex")</f>
        <v>Alex</v>
      </c>
      <c r="E131" s="49" t="str">
        <f ca="1">IFERROR(__xludf.DUMMYFUNCTION("""COMPUTED_VALUE"""),"06540193")</f>
        <v>06540193</v>
      </c>
      <c r="F131" s="48" t="str">
        <f ca="1">IFERROR(__xludf.DUMMYFUNCTION("""COMPUTED_VALUE"""),"BACCARAT ABTT")</f>
        <v>BACCARAT ABTT</v>
      </c>
      <c r="G131" s="50" t="str">
        <f ca="1">IFERROR(__xludf.DUMMYFUNCTION("""COMPUTED_VALUE"""),"CD54")</f>
        <v>CD54</v>
      </c>
      <c r="H131" s="50" t="str">
        <f ca="1">IFERROR(__xludf.DUMMYFUNCTION("""COMPUTED_VALUE"""),"inactivité 3ème année")</f>
        <v>inactivité 3ème année</v>
      </c>
    </row>
    <row r="132" spans="1:8" ht="12.75">
      <c r="A132" s="46">
        <f ca="1">IFERROR(__xludf.DUMMYFUNCTION("""COMPUTED_VALUE"""),120)</f>
        <v>120</v>
      </c>
      <c r="B132" s="65" t="str">
        <f ca="1">IFERROR(__xludf.DUMMYFUNCTION("""COMPUTED_VALUE"""),"5713660")</f>
        <v>5713660</v>
      </c>
      <c r="C132" s="48" t="str">
        <f ca="1">IFERROR(__xludf.DUMMYFUNCTION("""COMPUTED_VALUE"""),"GEORGIN")</f>
        <v>GEORGIN</v>
      </c>
      <c r="D132" s="48" t="str">
        <f ca="1">IFERROR(__xludf.DUMMYFUNCTION("""COMPUTED_VALUE"""),"Cyril")</f>
        <v>Cyril</v>
      </c>
      <c r="E132" s="49" t="str">
        <f ca="1">IFERROR(__xludf.DUMMYFUNCTION("""COMPUTED_VALUE"""),"06570007")</f>
        <v>06570007</v>
      </c>
      <c r="F132" s="48" t="str">
        <f ca="1">IFERROR(__xludf.DUMMYFUNCTION("""COMPUTED_VALUE"""),"HAGONDANGE E.S.")</f>
        <v>HAGONDANGE E.S.</v>
      </c>
      <c r="G132" s="50" t="str">
        <f ca="1">IFERROR(__xludf.DUMMYFUNCTION("""COMPUTED_VALUE"""),"CD57")</f>
        <v>CD57</v>
      </c>
      <c r="H132" s="50" t="str">
        <f ca="1">IFERROR(__xludf.DUMMYFUNCTION("""COMPUTED_VALUE"""),"inactivité 1ère année")</f>
        <v>inactivité 1ère année</v>
      </c>
    </row>
    <row r="133" spans="1:8" ht="12.75">
      <c r="A133" s="46">
        <f ca="1">IFERROR(__xludf.DUMMYFUNCTION("""COMPUTED_VALUE"""),121)</f>
        <v>121</v>
      </c>
      <c r="B133" s="65" t="str">
        <f ca="1">IFERROR(__xludf.DUMMYFUNCTION("""COMPUTED_VALUE"""),"5419525")</f>
        <v>5419525</v>
      </c>
      <c r="C133" s="48" t="str">
        <f ca="1">IFERROR(__xludf.DUMMYFUNCTION("""COMPUTED_VALUE"""),"GERARD")</f>
        <v>GERARD</v>
      </c>
      <c r="D133" s="48" t="str">
        <f ca="1">IFERROR(__xludf.DUMMYFUNCTION("""COMPUTED_VALUE"""),"Anthony")</f>
        <v>Anthony</v>
      </c>
      <c r="E133" s="49" t="str">
        <f ca="1">IFERROR(__xludf.DUMMYFUNCTION("""COMPUTED_VALUE"""),"06540193")</f>
        <v>06540193</v>
      </c>
      <c r="F133" s="48" t="str">
        <f ca="1">IFERROR(__xludf.DUMMYFUNCTION("""COMPUTED_VALUE"""),"BACCARAT ABTT")</f>
        <v>BACCARAT ABTT</v>
      </c>
      <c r="G133" s="50" t="str">
        <f ca="1">IFERROR(__xludf.DUMMYFUNCTION("""COMPUTED_VALUE"""),"CD54")</f>
        <v>CD54</v>
      </c>
      <c r="H133" s="50" t="str">
        <f ca="1">IFERROR(__xludf.DUMMYFUNCTION("""COMPUTED_VALUE"""),"inactivité 3ème année")</f>
        <v>inactivité 3ème année</v>
      </c>
    </row>
    <row r="134" spans="1:8" ht="12.75">
      <c r="A134" s="46">
        <f ca="1">IFERROR(__xludf.DUMMYFUNCTION("""COMPUTED_VALUE"""),122)</f>
        <v>122</v>
      </c>
      <c r="B134" s="65" t="str">
        <f ca="1">IFERROR(__xludf.DUMMYFUNCTION("""COMPUTED_VALUE"""),"55728")</f>
        <v>55728</v>
      </c>
      <c r="C134" s="48" t="str">
        <f ca="1">IFERROR(__xludf.DUMMYFUNCTION("""COMPUTED_VALUE"""),"GERMAIN")</f>
        <v>GERMAIN</v>
      </c>
      <c r="D134" s="48" t="str">
        <f ca="1">IFERROR(__xludf.DUMMYFUNCTION("""COMPUTED_VALUE"""),"Franck")</f>
        <v>Franck</v>
      </c>
      <c r="E134" s="49" t="str">
        <f ca="1">IFERROR(__xludf.DUMMYFUNCTION("""COMPUTED_VALUE"""),"06550020")</f>
        <v>06550020</v>
      </c>
      <c r="F134" s="48" t="str">
        <f ca="1">IFERROR(__xludf.DUMMYFUNCTION("""COMPUTED_VALUE"""),"FAINS LES SOURCES AEL")</f>
        <v>FAINS LES SOURCES AEL</v>
      </c>
      <c r="G134" s="50" t="str">
        <f ca="1">IFERROR(__xludf.DUMMYFUNCTION("""COMPUTED_VALUE"""),"CD55")</f>
        <v>CD55</v>
      </c>
      <c r="H134" s="50" t="str">
        <f ca="1">IFERROR(__xludf.DUMMYFUNCTION("""COMPUTED_VALUE"""),"inactivité 3ème année")</f>
        <v>inactivité 3ème année</v>
      </c>
    </row>
    <row r="135" spans="1:8" ht="12.75">
      <c r="A135" s="46">
        <f ca="1">IFERROR(__xludf.DUMMYFUNCTION("""COMPUTED_VALUE"""),123)</f>
        <v>123</v>
      </c>
      <c r="B135" s="65" t="str">
        <f ca="1">IFERROR(__xludf.DUMMYFUNCTION("""COMPUTED_VALUE"""),"551768")</f>
        <v>551768</v>
      </c>
      <c r="C135" s="48" t="str">
        <f ca="1">IFERROR(__xludf.DUMMYFUNCTION("""COMPUTED_VALUE"""),"GERMAIN")</f>
        <v>GERMAIN</v>
      </c>
      <c r="D135" s="48" t="str">
        <f ca="1">IFERROR(__xludf.DUMMYFUNCTION("""COMPUTED_VALUE"""),"Laurence")</f>
        <v>Laurence</v>
      </c>
      <c r="E135" s="49" t="str">
        <f ca="1">IFERROR(__xludf.DUMMYFUNCTION("""COMPUTED_VALUE"""),"06540032")</f>
        <v>06540032</v>
      </c>
      <c r="F135" s="48" t="str">
        <f ca="1">IFERROR(__xludf.DUMMYFUNCTION("""COMPUTED_VALUE"""),"NEUVES MAISONS TT")</f>
        <v>NEUVES MAISONS TT</v>
      </c>
      <c r="G135" s="50" t="str">
        <f ca="1">IFERROR(__xludf.DUMMYFUNCTION("""COMPUTED_VALUE"""),"CD54")</f>
        <v>CD54</v>
      </c>
      <c r="H135" s="50" t="str">
        <f ca="1">IFERROR(__xludf.DUMMYFUNCTION("""COMPUTED_VALUE"""),"inactivité 1ère année")</f>
        <v>inactivité 1ère année</v>
      </c>
    </row>
    <row r="136" spans="1:8" ht="12.75">
      <c r="A136" s="46">
        <f ca="1">IFERROR(__xludf.DUMMYFUNCTION("""COMPUTED_VALUE"""),124)</f>
        <v>124</v>
      </c>
      <c r="B136" s="65" t="str">
        <f ca="1">IFERROR(__xludf.DUMMYFUNCTION("""COMPUTED_VALUE"""),"559876")</f>
        <v>559876</v>
      </c>
      <c r="C136" s="48" t="str">
        <f ca="1">IFERROR(__xludf.DUMMYFUNCTION("""COMPUTED_VALUE"""),"GERVASONI")</f>
        <v>GERVASONI</v>
      </c>
      <c r="D136" s="48" t="str">
        <f ca="1">IFERROR(__xludf.DUMMYFUNCTION("""COMPUTED_VALUE"""),"Emmanuel")</f>
        <v>Emmanuel</v>
      </c>
      <c r="E136" s="49" t="str">
        <f ca="1">IFERROR(__xludf.DUMMYFUNCTION("""COMPUTED_VALUE"""),"06550013")</f>
        <v>06550013</v>
      </c>
      <c r="F136" s="48" t="str">
        <f ca="1">IFERROR(__xludf.DUMMYFUNCTION("""COMPUTED_VALUE"""),"VERDUN S.A.V.T.T.")</f>
        <v>VERDUN S.A.V.T.T.</v>
      </c>
      <c r="G136" s="50" t="str">
        <f ca="1">IFERROR(__xludf.DUMMYFUNCTION("""COMPUTED_VALUE"""),"CD55")</f>
        <v>CD55</v>
      </c>
      <c r="H136" s="50" t="str">
        <f ca="1">IFERROR(__xludf.DUMMYFUNCTION("""COMPUTED_VALUE"""),"inactivité 1ère année")</f>
        <v>inactivité 1ère année</v>
      </c>
    </row>
    <row r="137" spans="1:8" ht="12.75">
      <c r="A137" s="46">
        <f ca="1">IFERROR(__xludf.DUMMYFUNCTION("""COMPUTED_VALUE"""),125)</f>
        <v>125</v>
      </c>
      <c r="B137" s="65" t="str">
        <f ca="1">IFERROR(__xludf.DUMMYFUNCTION("""COMPUTED_VALUE"""),"51101")</f>
        <v>51101</v>
      </c>
      <c r="C137" s="48" t="str">
        <f ca="1">IFERROR(__xludf.DUMMYFUNCTION("""COMPUTED_VALUE"""),"GILLE")</f>
        <v>GILLE</v>
      </c>
      <c r="D137" s="48" t="str">
        <f ca="1">IFERROR(__xludf.DUMMYFUNCTION("""COMPUTED_VALUE"""),"Guy")</f>
        <v>Guy</v>
      </c>
      <c r="E137" s="49" t="str">
        <f ca="1">IFERROR(__xludf.DUMMYFUNCTION("""COMPUTED_VALUE"""),"06510112")</f>
        <v>06510112</v>
      </c>
      <c r="F137" s="48" t="str">
        <f ca="1">IFERROR(__xludf.DUMMYFUNCTION("""COMPUTED_VALUE"""),"CHALONS-EN-CHAMPAGNE TT")</f>
        <v>CHALONS-EN-CHAMPAGNE TT</v>
      </c>
      <c r="G137" s="50" t="str">
        <f ca="1">IFERROR(__xludf.DUMMYFUNCTION("""COMPUTED_VALUE"""),"CD51")</f>
        <v>CD51</v>
      </c>
      <c r="H137" s="50" t="str">
        <f ca="1">IFERROR(__xludf.DUMMYFUNCTION("""COMPUTED_VALUE"""),"inactivité 1ère année")</f>
        <v>inactivité 1ère année</v>
      </c>
    </row>
    <row r="138" spans="1:8" ht="12.75">
      <c r="A138" s="46">
        <f ca="1">IFERROR(__xludf.DUMMYFUNCTION("""COMPUTED_VALUE"""),126)</f>
        <v>126</v>
      </c>
      <c r="B138" s="65" t="str">
        <f ca="1">IFERROR(__xludf.DUMMYFUNCTION("""COMPUTED_VALUE"""),"888998")</f>
        <v>888998</v>
      </c>
      <c r="C138" s="48" t="str">
        <f ca="1">IFERROR(__xludf.DUMMYFUNCTION("""COMPUTED_VALUE"""),"GILSON")</f>
        <v>GILSON</v>
      </c>
      <c r="D138" s="48" t="str">
        <f ca="1">IFERROR(__xludf.DUMMYFUNCTION("""COMPUTED_VALUE"""),"Fabien")</f>
        <v>Fabien</v>
      </c>
      <c r="E138" s="49" t="str">
        <f ca="1">IFERROR(__xludf.DUMMYFUNCTION("""COMPUTED_VALUE"""),"06680130")</f>
        <v>06680130</v>
      </c>
      <c r="F138" s="48" t="str">
        <f ca="1">IFERROR(__xludf.DUMMYFUNCTION("""COMPUTED_VALUE"""),"VAL de LIEPVRE ASL")</f>
        <v>VAL de LIEPVRE ASL</v>
      </c>
      <c r="G138" s="50" t="str">
        <f ca="1">IFERROR(__xludf.DUMMYFUNCTION("""COMPUTED_VALUE"""),"CD68")</f>
        <v>CD68</v>
      </c>
      <c r="H138" s="50" t="str">
        <f ca="1">IFERROR(__xludf.DUMMYFUNCTION("""COMPUTED_VALUE"""),"inactivité 1ère année")</f>
        <v>inactivité 1ère année</v>
      </c>
    </row>
    <row r="139" spans="1:8" ht="12.75">
      <c r="A139" s="46">
        <f ca="1">IFERROR(__xludf.DUMMYFUNCTION("""COMPUTED_VALUE"""),127)</f>
        <v>127</v>
      </c>
      <c r="B139" s="65" t="str">
        <f ca="1">IFERROR(__xludf.DUMMYFUNCTION("""COMPUTED_VALUE"""),"6710667")</f>
        <v>6710667</v>
      </c>
      <c r="C139" s="48" t="str">
        <f ca="1">IFERROR(__xludf.DUMMYFUNCTION("""COMPUTED_VALUE"""),"GRABHERR")</f>
        <v>GRABHERR</v>
      </c>
      <c r="D139" s="48" t="str">
        <f ca="1">IFERROR(__xludf.DUMMYFUNCTION("""COMPUTED_VALUE"""),"Jean-Marc")</f>
        <v>Jean-Marc</v>
      </c>
      <c r="E139" s="49" t="str">
        <f ca="1">IFERROR(__xludf.DUMMYFUNCTION("""COMPUTED_VALUE"""),"06570029")</f>
        <v>06570029</v>
      </c>
      <c r="F139" s="48" t="str">
        <f ca="1">IFERROR(__xludf.DUMMYFUNCTION("""COMPUTED_VALUE"""),"WILLERWALD A.S.")</f>
        <v>WILLERWALD A.S.</v>
      </c>
      <c r="G139" s="50" t="str">
        <f ca="1">IFERROR(__xludf.DUMMYFUNCTION("""COMPUTED_VALUE"""),"CD57")</f>
        <v>CD57</v>
      </c>
      <c r="H139" s="50" t="str">
        <f ca="1">IFERROR(__xludf.DUMMYFUNCTION("""COMPUTED_VALUE"""),"inactivité 1ère année")</f>
        <v>inactivité 1ère année</v>
      </c>
    </row>
    <row r="140" spans="1:8" ht="12.75">
      <c r="A140" s="46">
        <f ca="1">IFERROR(__xludf.DUMMYFUNCTION("""COMPUTED_VALUE"""),128)</f>
        <v>128</v>
      </c>
      <c r="B140" s="65" t="str">
        <f ca="1">IFERROR(__xludf.DUMMYFUNCTION("""COMPUTED_VALUE"""),"685891")</f>
        <v>685891</v>
      </c>
      <c r="C140" s="48" t="str">
        <f ca="1">IFERROR(__xludf.DUMMYFUNCTION("""COMPUTED_VALUE"""),"GRANDGEORGE")</f>
        <v>GRANDGEORGE</v>
      </c>
      <c r="D140" s="48" t="str">
        <f ca="1">IFERROR(__xludf.DUMMYFUNCTION("""COMPUTED_VALUE"""),"Odile")</f>
        <v>Odile</v>
      </c>
      <c r="E140" s="49" t="str">
        <f ca="1">IFERROR(__xludf.DUMMYFUNCTION("""COMPUTED_VALUE"""),"06680130")</f>
        <v>06680130</v>
      </c>
      <c r="F140" s="48" t="str">
        <f ca="1">IFERROR(__xludf.DUMMYFUNCTION("""COMPUTED_VALUE"""),"VAL de LIEPVRE ASL")</f>
        <v>VAL de LIEPVRE ASL</v>
      </c>
      <c r="G140" s="50" t="str">
        <f ca="1">IFERROR(__xludf.DUMMYFUNCTION("""COMPUTED_VALUE"""),"CD68")</f>
        <v>CD68</v>
      </c>
      <c r="H140" s="50" t="str">
        <f ca="1">IFERROR(__xludf.DUMMYFUNCTION("""COMPUTED_VALUE"""),"inactivité 1ère année")</f>
        <v>inactivité 1ère année</v>
      </c>
    </row>
    <row r="141" spans="1:8" ht="12.75">
      <c r="A141" s="46">
        <f ca="1">IFERROR(__xludf.DUMMYFUNCTION("""COMPUTED_VALUE"""),129)</f>
        <v>129</v>
      </c>
      <c r="B141" s="65" t="str">
        <f ca="1">IFERROR(__xludf.DUMMYFUNCTION("""COMPUTED_VALUE"""),"6716533")</f>
        <v>6716533</v>
      </c>
      <c r="C141" s="48" t="str">
        <f ca="1">IFERROR(__xludf.DUMMYFUNCTION("""COMPUTED_VALUE"""),"GRANDHOMME")</f>
        <v>GRANDHOMME</v>
      </c>
      <c r="D141" s="48" t="str">
        <f ca="1">IFERROR(__xludf.DUMMYFUNCTION("""COMPUTED_VALUE"""),"Eric")</f>
        <v>Eric</v>
      </c>
      <c r="E141" s="49" t="str">
        <f ca="1">IFERROR(__xludf.DUMMYFUNCTION("""COMPUTED_VALUE"""),"06670115")</f>
        <v>06670115</v>
      </c>
      <c r="F141" s="48" t="str">
        <f ca="1">IFERROR(__xludf.DUMMYFUNCTION("""COMPUTED_VALUE"""),"GUNDERSHOFFEN P79")</f>
        <v>GUNDERSHOFFEN P79</v>
      </c>
      <c r="G141" s="50" t="str">
        <f ca="1">IFERROR(__xludf.DUMMYFUNCTION("""COMPUTED_VALUE"""),"CD67")</f>
        <v>CD67</v>
      </c>
      <c r="H141" s="50" t="str">
        <f ca="1">IFERROR(__xludf.DUMMYFUNCTION("""COMPUTED_VALUE"""),"inactivité 3ème année")</f>
        <v>inactivité 3ème année</v>
      </c>
    </row>
    <row r="142" spans="1:8" ht="12.75">
      <c r="A142" s="46">
        <f ca="1">IFERROR(__xludf.DUMMYFUNCTION("""COMPUTED_VALUE"""),130)</f>
        <v>130</v>
      </c>
      <c r="B142" s="65" t="str">
        <f ca="1">IFERROR(__xludf.DUMMYFUNCTION("""COMPUTED_VALUE"""),"8814395")</f>
        <v>8814395</v>
      </c>
      <c r="C142" s="48" t="str">
        <f ca="1">IFERROR(__xludf.DUMMYFUNCTION("""COMPUTED_VALUE"""),"GRELIER")</f>
        <v>GRELIER</v>
      </c>
      <c r="D142" s="48" t="str">
        <f ca="1">IFERROR(__xludf.DUMMYFUNCTION("""COMPUTED_VALUE"""),"Olivier")</f>
        <v>Olivier</v>
      </c>
      <c r="E142" s="49" t="str">
        <f ca="1">IFERROR(__xludf.DUMMYFUNCTION("""COMPUTED_VALUE"""),"06880073")</f>
        <v>06880073</v>
      </c>
      <c r="F142" s="48" t="str">
        <f ca="1">IFERROR(__xludf.DUMMYFUNCTION("""COMPUTED_VALUE"""),"SAINTE MARGUERITE C.T.T.")</f>
        <v>SAINTE MARGUERITE C.T.T.</v>
      </c>
      <c r="G142" s="50" t="str">
        <f ca="1">IFERROR(__xludf.DUMMYFUNCTION("""COMPUTED_VALUE"""),"CD88")</f>
        <v>CD88</v>
      </c>
      <c r="H142" s="50" t="str">
        <f ca="1">IFERROR(__xludf.DUMMYFUNCTION("""COMPUTED_VALUE"""),"inactivité 3ème année")</f>
        <v>inactivité 3ème année</v>
      </c>
    </row>
    <row r="143" spans="1:8" ht="12.75">
      <c r="A143" s="46">
        <f ca="1">IFERROR(__xludf.DUMMYFUNCTION("""COMPUTED_VALUE"""),131)</f>
        <v>131</v>
      </c>
      <c r="B143" s="65" t="str">
        <f ca="1">IFERROR(__xludf.DUMMYFUNCTION("""COMPUTED_VALUE"""),"088180")</f>
        <v>088180</v>
      </c>
      <c r="C143" s="48" t="str">
        <f ca="1">IFERROR(__xludf.DUMMYFUNCTION("""COMPUTED_VALUE"""),"GREVIN")</f>
        <v>GREVIN</v>
      </c>
      <c r="D143" s="48" t="str">
        <f ca="1">IFERROR(__xludf.DUMMYFUNCTION("""COMPUTED_VALUE"""),"Regis")</f>
        <v>Regis</v>
      </c>
      <c r="E143" s="49" t="str">
        <f ca="1">IFERROR(__xludf.DUMMYFUNCTION("""COMPUTED_VALUE"""),"06080087")</f>
        <v>06080087</v>
      </c>
      <c r="F143" s="48" t="str">
        <f ca="1">IFERROR(__xludf.DUMMYFUNCTION("""COMPUTED_VALUE"""),"CARIGNAN YVOISIEN CTT")</f>
        <v>CARIGNAN YVOISIEN CTT</v>
      </c>
      <c r="G143" s="50" t="str">
        <f ca="1">IFERROR(__xludf.DUMMYFUNCTION("""COMPUTED_VALUE"""),"CD08")</f>
        <v>CD08</v>
      </c>
      <c r="H143" s="50" t="str">
        <f ca="1">IFERROR(__xludf.DUMMYFUNCTION("""COMPUTED_VALUE"""),"inactivité 3ème année")</f>
        <v>inactivité 3ème année</v>
      </c>
    </row>
    <row r="144" spans="1:8" ht="12.75">
      <c r="A144" s="46">
        <f ca="1">IFERROR(__xludf.DUMMYFUNCTION("""COMPUTED_VALUE"""),132)</f>
        <v>132</v>
      </c>
      <c r="B144" s="65" t="str">
        <f ca="1">IFERROR(__xludf.DUMMYFUNCTION("""COMPUTED_VALUE"""),"089323")</f>
        <v>089323</v>
      </c>
      <c r="C144" s="48" t="str">
        <f ca="1">IFERROR(__xludf.DUMMYFUNCTION("""COMPUTED_VALUE"""),"GREVIN")</f>
        <v>GREVIN</v>
      </c>
      <c r="D144" s="48" t="str">
        <f ca="1">IFERROR(__xludf.DUMMYFUNCTION("""COMPUTED_VALUE"""),"Antonin")</f>
        <v>Antonin</v>
      </c>
      <c r="E144" s="49" t="str">
        <f ca="1">IFERROR(__xludf.DUMMYFUNCTION("""COMPUTED_VALUE"""),"06080087")</f>
        <v>06080087</v>
      </c>
      <c r="F144" s="48" t="str">
        <f ca="1">IFERROR(__xludf.DUMMYFUNCTION("""COMPUTED_VALUE"""),"CARIGNAN YVOISIEN CTT")</f>
        <v>CARIGNAN YVOISIEN CTT</v>
      </c>
      <c r="G144" s="50" t="str">
        <f ca="1">IFERROR(__xludf.DUMMYFUNCTION("""COMPUTED_VALUE"""),"CD08")</f>
        <v>CD08</v>
      </c>
      <c r="H144" s="50" t="str">
        <f ca="1">IFERROR(__xludf.DUMMYFUNCTION("""COMPUTED_VALUE"""),"inactivité 3ème année")</f>
        <v>inactivité 3ème année</v>
      </c>
    </row>
    <row r="145" spans="1:8" ht="12.75">
      <c r="A145" s="46">
        <f ca="1">IFERROR(__xludf.DUMMYFUNCTION("""COMPUTED_VALUE"""),133)</f>
        <v>133</v>
      </c>
      <c r="B145" s="65" t="str">
        <f ca="1">IFERROR(__xludf.DUMMYFUNCTION("""COMPUTED_VALUE"""),"5416075")</f>
        <v>5416075</v>
      </c>
      <c r="C145" s="48" t="str">
        <f ca="1">IFERROR(__xludf.DUMMYFUNCTION("""COMPUTED_VALUE"""),"GRITTI")</f>
        <v>GRITTI</v>
      </c>
      <c r="D145" s="48" t="str">
        <f ca="1">IFERROR(__xludf.DUMMYFUNCTION("""COMPUTED_VALUE"""),"Alexandre")</f>
        <v>Alexandre</v>
      </c>
      <c r="E145" s="49" t="str">
        <f ca="1">IFERROR(__xludf.DUMMYFUNCTION("""COMPUTED_VALUE"""),"06540034")</f>
        <v>06540034</v>
      </c>
      <c r="F145" s="48" t="str">
        <f ca="1">IFERROR(__xludf.DUMMYFUNCTION("""COMPUTED_VALUE"""),"SAINT MAX T.T.H.R.")</f>
        <v>SAINT MAX T.T.H.R.</v>
      </c>
      <c r="G145" s="50" t="str">
        <f ca="1">IFERROR(__xludf.DUMMYFUNCTION("""COMPUTED_VALUE"""),"CD54")</f>
        <v>CD54</v>
      </c>
      <c r="H145" s="50" t="str">
        <f ca="1">IFERROR(__xludf.DUMMYFUNCTION("""COMPUTED_VALUE"""),"inactivité 2ème année")</f>
        <v>inactivité 2ème année</v>
      </c>
    </row>
    <row r="146" spans="1:8" ht="12.75">
      <c r="A146" s="46">
        <f ca="1">IFERROR(__xludf.DUMMYFUNCTION("""COMPUTED_VALUE"""),134)</f>
        <v>134</v>
      </c>
      <c r="B146" s="65" t="str">
        <f ca="1">IFERROR(__xludf.DUMMYFUNCTION("""COMPUTED_VALUE"""),"5725266")</f>
        <v>5725266</v>
      </c>
      <c r="C146" s="48" t="str">
        <f ca="1">IFERROR(__xludf.DUMMYFUNCTION("""COMPUTED_VALUE"""),"GRÜN")</f>
        <v>GRÜN</v>
      </c>
      <c r="D146" s="48" t="str">
        <f ca="1">IFERROR(__xludf.DUMMYFUNCTION("""COMPUTED_VALUE"""),"Daniel")</f>
        <v>Daniel</v>
      </c>
      <c r="E146" s="49" t="str">
        <f ca="1">IFERROR(__xludf.DUMMYFUNCTION("""COMPUTED_VALUE"""),"06570057")</f>
        <v>06570057</v>
      </c>
      <c r="F146" s="48" t="str">
        <f ca="1">IFERROR(__xludf.DUMMYFUNCTION("""COMPUTED_VALUE"""),"FREYMING-ST MAURICE LTDP")</f>
        <v>FREYMING-ST MAURICE LTDP</v>
      </c>
      <c r="G146" s="50" t="str">
        <f ca="1">IFERROR(__xludf.DUMMYFUNCTION("""COMPUTED_VALUE"""),"CD57")</f>
        <v>CD57</v>
      </c>
      <c r="H146" s="50" t="str">
        <f ca="1">IFERROR(__xludf.DUMMYFUNCTION("""COMPUTED_VALUE"""),"inactivité 2ème année")</f>
        <v>inactivité 2ème année</v>
      </c>
    </row>
    <row r="147" spans="1:8" ht="12.75">
      <c r="A147" s="46">
        <f ca="1">IFERROR(__xludf.DUMMYFUNCTION("""COMPUTED_VALUE"""),135)</f>
        <v>135</v>
      </c>
      <c r="B147" s="65" t="str">
        <f ca="1">IFERROR(__xludf.DUMMYFUNCTION("""COMPUTED_VALUE"""),"103245")</f>
        <v>103245</v>
      </c>
      <c r="C147" s="48" t="str">
        <f ca="1">IFERROR(__xludf.DUMMYFUNCTION("""COMPUTED_VALUE"""),"GUIGNIER")</f>
        <v>GUIGNIER</v>
      </c>
      <c r="D147" s="48" t="str">
        <f ca="1">IFERROR(__xludf.DUMMYFUNCTION("""COMPUTED_VALUE"""),"Vivien")</f>
        <v>Vivien</v>
      </c>
      <c r="E147" s="49" t="str">
        <f ca="1">IFERROR(__xludf.DUMMYFUNCTION("""COMPUTED_VALUE"""),"06100035")</f>
        <v>06100035</v>
      </c>
      <c r="F147" s="48" t="str">
        <f ca="1">IFERROR(__xludf.DUMMYFUNCTION("""COMPUTED_VALUE"""),"ST MESMIN-VALLANT TT")</f>
        <v>ST MESMIN-VALLANT TT</v>
      </c>
      <c r="G147" s="50" t="str">
        <f ca="1">IFERROR(__xludf.DUMMYFUNCTION("""COMPUTED_VALUE"""),"CD10")</f>
        <v>CD10</v>
      </c>
      <c r="H147" s="50" t="str">
        <f ca="1">IFERROR(__xludf.DUMMYFUNCTION("""COMPUTED_VALUE"""),"inactivité 1ère année")</f>
        <v>inactivité 1ère année</v>
      </c>
    </row>
    <row r="148" spans="1:8" ht="12.75">
      <c r="A148" s="46">
        <f ca="1">IFERROR(__xludf.DUMMYFUNCTION("""COMPUTED_VALUE"""),136)</f>
        <v>136</v>
      </c>
      <c r="B148" s="65" t="str">
        <f ca="1">IFERROR(__xludf.DUMMYFUNCTION("""COMPUTED_VALUE"""),"671737")</f>
        <v>671737</v>
      </c>
      <c r="C148" s="48" t="str">
        <f ca="1">IFERROR(__xludf.DUMMYFUNCTION("""COMPUTED_VALUE"""),"GUILLEMIN")</f>
        <v>GUILLEMIN</v>
      </c>
      <c r="D148" s="48" t="str">
        <f ca="1">IFERROR(__xludf.DUMMYFUNCTION("""COMPUTED_VALUE"""),"Samuel")</f>
        <v>Samuel</v>
      </c>
      <c r="E148" s="49" t="str">
        <f ca="1">IFERROR(__xludf.DUMMYFUNCTION("""COMPUTED_VALUE"""),"06670045")</f>
        <v>06670045</v>
      </c>
      <c r="F148" s="48" t="str">
        <f ca="1">IFERROR(__xludf.DUMMYFUNCTION("""COMPUTED_VALUE"""),"STRASBOURG RC")</f>
        <v>STRASBOURG RC</v>
      </c>
      <c r="G148" s="50" t="str">
        <f ca="1">IFERROR(__xludf.DUMMYFUNCTION("""COMPUTED_VALUE"""),"CD67")</f>
        <v>CD67</v>
      </c>
      <c r="H148" s="50" t="str">
        <f ca="1">IFERROR(__xludf.DUMMYFUNCTION("""COMPUTED_VALUE"""),"inactivité 1ère année")</f>
        <v>inactivité 1ère année</v>
      </c>
    </row>
    <row r="149" spans="1:8" ht="12.75">
      <c r="A149" s="46">
        <f ca="1">IFERROR(__xludf.DUMMYFUNCTION("""COMPUTED_VALUE"""),137)</f>
        <v>137</v>
      </c>
      <c r="B149" s="65" t="str">
        <f ca="1">IFERROR(__xludf.DUMMYFUNCTION("""COMPUTED_VALUE"""),"5719363")</f>
        <v>5719363</v>
      </c>
      <c r="C149" s="48" t="str">
        <f ca="1">IFERROR(__xludf.DUMMYFUNCTION("""COMPUTED_VALUE"""),"GUINDEUIL")</f>
        <v>GUINDEUIL</v>
      </c>
      <c r="D149" s="48" t="str">
        <f ca="1">IFERROR(__xludf.DUMMYFUNCTION("""COMPUTED_VALUE"""),"Gregory")</f>
        <v>Gregory</v>
      </c>
      <c r="E149" s="49" t="str">
        <f ca="1">IFERROR(__xludf.DUMMYFUNCTION("""COMPUTED_VALUE"""),"06570193")</f>
        <v>06570193</v>
      </c>
      <c r="F149" s="48" t="str">
        <f ca="1">IFERROR(__xludf.DUMMYFUNCTION("""COMPUTED_VALUE"""),"REMILLY Tennis de Table")</f>
        <v>REMILLY Tennis de Table</v>
      </c>
      <c r="G149" s="50" t="str">
        <f ca="1">IFERROR(__xludf.DUMMYFUNCTION("""COMPUTED_VALUE"""),"CD57")</f>
        <v>CD57</v>
      </c>
      <c r="H149" s="50" t="str">
        <f ca="1">IFERROR(__xludf.DUMMYFUNCTION("""COMPUTED_VALUE"""),"inactivité 1ère année")</f>
        <v>inactivité 1ère année</v>
      </c>
    </row>
    <row r="150" spans="1:8" ht="12.75">
      <c r="A150" s="46">
        <f ca="1">IFERROR(__xludf.DUMMYFUNCTION("""COMPUTED_VALUE"""),138)</f>
        <v>138</v>
      </c>
      <c r="B150" s="65" t="str">
        <f ca="1">IFERROR(__xludf.DUMMYFUNCTION("""COMPUTED_VALUE"""),"8819147")</f>
        <v>8819147</v>
      </c>
      <c r="C150" s="48" t="str">
        <f ca="1">IFERROR(__xludf.DUMMYFUNCTION("""COMPUTED_VALUE"""),"GULLY")</f>
        <v>GULLY</v>
      </c>
      <c r="D150" s="48" t="str">
        <f ca="1">IFERROR(__xludf.DUMMYFUNCTION("""COMPUTED_VALUE"""),"Frederic")</f>
        <v>Frederic</v>
      </c>
      <c r="E150" s="49" t="str">
        <f ca="1">IFERROR(__xludf.DUMMYFUNCTION("""COMPUTED_VALUE"""),"06880123")</f>
        <v>06880123</v>
      </c>
      <c r="F150" s="48" t="str">
        <f ca="1">IFERROR(__xludf.DUMMYFUNCTION("""COMPUTED_VALUE"""),"ETIVAL ASRTT")</f>
        <v>ETIVAL ASRTT</v>
      </c>
      <c r="G150" s="50" t="str">
        <f ca="1">IFERROR(__xludf.DUMMYFUNCTION("""COMPUTED_VALUE"""),"CD88")</f>
        <v>CD88</v>
      </c>
      <c r="H150" s="50" t="str">
        <f ca="1">IFERROR(__xludf.DUMMYFUNCTION("""COMPUTED_VALUE"""),"actif")</f>
        <v>actif</v>
      </c>
    </row>
    <row r="151" spans="1:8" ht="12.75">
      <c r="A151" s="46">
        <f ca="1">IFERROR(__xludf.DUMMYFUNCTION("""COMPUTED_VALUE"""),139)</f>
        <v>139</v>
      </c>
      <c r="B151" s="65" t="str">
        <f ca="1">IFERROR(__xludf.DUMMYFUNCTION("""COMPUTED_VALUE"""),"103158")</f>
        <v>103158</v>
      </c>
      <c r="C151" s="48" t="str">
        <f ca="1">IFERROR(__xludf.DUMMYFUNCTION("""COMPUTED_VALUE"""),"GUTH")</f>
        <v>GUTH</v>
      </c>
      <c r="D151" s="48" t="str">
        <f ca="1">IFERROR(__xludf.DUMMYFUNCTION("""COMPUTED_VALUE"""),"Francine")</f>
        <v>Francine</v>
      </c>
      <c r="E151" s="49" t="str">
        <f ca="1">IFERROR(__xludf.DUMMYFUNCTION("""COMPUTED_VALUE"""),"06100015")</f>
        <v>06100015</v>
      </c>
      <c r="F151" s="48" t="str">
        <f ca="1">IFERROR(__xludf.DUMMYFUNCTION("""COMPUTED_VALUE"""),"TROYES JEUNE GARDE")</f>
        <v>TROYES JEUNE GARDE</v>
      </c>
      <c r="G151" s="50" t="str">
        <f ca="1">IFERROR(__xludf.DUMMYFUNCTION("""COMPUTED_VALUE"""),"CD10")</f>
        <v>CD10</v>
      </c>
      <c r="H151" s="50" t="str">
        <f ca="1">IFERROR(__xludf.DUMMYFUNCTION("""COMPUTED_VALUE"""),"inactivité 2ème année")</f>
        <v>inactivité 2ème année</v>
      </c>
    </row>
    <row r="152" spans="1:8" ht="12.75">
      <c r="A152" s="46">
        <f ca="1">IFERROR(__xludf.DUMMYFUNCTION("""COMPUTED_VALUE"""),140)</f>
        <v>140</v>
      </c>
      <c r="B152" s="65" t="str">
        <f ca="1">IFERROR(__xludf.DUMMYFUNCTION("""COMPUTED_VALUE"""),"686585")</f>
        <v>686585</v>
      </c>
      <c r="C152" s="48" t="str">
        <f ca="1">IFERROR(__xludf.DUMMYFUNCTION("""COMPUTED_VALUE"""),"GUTKNECHT")</f>
        <v>GUTKNECHT</v>
      </c>
      <c r="D152" s="48" t="str">
        <f ca="1">IFERROR(__xludf.DUMMYFUNCTION("""COMPUTED_VALUE"""),"Florian")</f>
        <v>Florian</v>
      </c>
      <c r="E152" s="49" t="str">
        <f ca="1">IFERROR(__xludf.DUMMYFUNCTION("""COMPUTED_VALUE"""),"06680090")</f>
        <v>06680090</v>
      </c>
      <c r="F152" s="48" t="str">
        <f ca="1">IFERROR(__xludf.DUMMYFUNCTION("""COMPUTED_VALUE"""),"INGERSHEIM SSSA")</f>
        <v>INGERSHEIM SSSA</v>
      </c>
      <c r="G152" s="50" t="str">
        <f ca="1">IFERROR(__xludf.DUMMYFUNCTION("""COMPUTED_VALUE"""),"CD68")</f>
        <v>CD68</v>
      </c>
      <c r="H152" s="50" t="str">
        <f ca="1">IFERROR(__xludf.DUMMYFUNCTION("""COMPUTED_VALUE"""),"inactivité 3ème année")</f>
        <v>inactivité 3ème année</v>
      </c>
    </row>
    <row r="153" spans="1:8" ht="12.75">
      <c r="A153" s="46">
        <f ca="1">IFERROR(__xludf.DUMMYFUNCTION("""COMPUTED_VALUE"""),141)</f>
        <v>141</v>
      </c>
      <c r="B153" s="65" t="str">
        <f ca="1">IFERROR(__xludf.DUMMYFUNCTION("""COMPUTED_VALUE"""),"087266")</f>
        <v>087266</v>
      </c>
      <c r="C153" s="48" t="str">
        <f ca="1">IFERROR(__xludf.DUMMYFUNCTION("""COMPUTED_VALUE"""),"GUYOT")</f>
        <v>GUYOT</v>
      </c>
      <c r="D153" s="48" t="str">
        <f ca="1">IFERROR(__xludf.DUMMYFUNCTION("""COMPUTED_VALUE"""),"Frédéric")</f>
        <v>Frédéric</v>
      </c>
      <c r="E153" s="49" t="str">
        <f ca="1">IFERROR(__xludf.DUMMYFUNCTION("""COMPUTED_VALUE"""),"06080035")</f>
        <v>06080035</v>
      </c>
      <c r="F153" s="48" t="str">
        <f ca="1">IFERROR(__xludf.DUMMYFUNCTION("""COMPUTED_VALUE"""),"CHARLEVILLE MEZIERES ARDENNES TT")</f>
        <v>CHARLEVILLE MEZIERES ARDENNES TT</v>
      </c>
      <c r="G153" s="50" t="str">
        <f ca="1">IFERROR(__xludf.DUMMYFUNCTION("""COMPUTED_VALUE"""),"CD08")</f>
        <v>CD08</v>
      </c>
      <c r="H153" s="50" t="str">
        <f ca="1">IFERROR(__xludf.DUMMYFUNCTION("""COMPUTED_VALUE"""),"inactivité 3ème année")</f>
        <v>inactivité 3ème année</v>
      </c>
    </row>
    <row r="154" spans="1:8" ht="12.75">
      <c r="A154" s="46">
        <f ca="1">IFERROR(__xludf.DUMMYFUNCTION("""COMPUTED_VALUE"""),142)</f>
        <v>142</v>
      </c>
      <c r="B154" s="65" t="str">
        <f ca="1">IFERROR(__xludf.DUMMYFUNCTION("""COMPUTED_VALUE"""),"6724125")</f>
        <v>6724125</v>
      </c>
      <c r="C154" s="48" t="str">
        <f ca="1">IFERROR(__xludf.DUMMYFUNCTION("""COMPUTED_VALUE"""),"HAKKIOGLU")</f>
        <v>HAKKIOGLU</v>
      </c>
      <c r="D154" s="48" t="str">
        <f ca="1">IFERROR(__xludf.DUMMYFUNCTION("""COMPUTED_VALUE"""),"Suat")</f>
        <v>Suat</v>
      </c>
      <c r="E154" s="49" t="str">
        <f ca="1">IFERROR(__xludf.DUMMYFUNCTION("""COMPUTED_VALUE"""),"06680130")</f>
        <v>06680130</v>
      </c>
      <c r="F154" s="48" t="str">
        <f ca="1">IFERROR(__xludf.DUMMYFUNCTION("""COMPUTED_VALUE"""),"VAL de LIEPVRE ASL")</f>
        <v>VAL de LIEPVRE ASL</v>
      </c>
      <c r="G154" s="50" t="str">
        <f ca="1">IFERROR(__xludf.DUMMYFUNCTION("""COMPUTED_VALUE"""),"CD68")</f>
        <v>CD68</v>
      </c>
      <c r="H154" s="50" t="str">
        <f ca="1">IFERROR(__xludf.DUMMYFUNCTION("""COMPUTED_VALUE"""),"actif")</f>
        <v>actif</v>
      </c>
    </row>
    <row r="155" spans="1:8" ht="12.75">
      <c r="A155" s="46">
        <f ca="1">IFERROR(__xludf.DUMMYFUNCTION("""COMPUTED_VALUE"""),143)</f>
        <v>143</v>
      </c>
      <c r="B155" s="65" t="str">
        <f ca="1">IFERROR(__xludf.DUMMYFUNCTION("""COMPUTED_VALUE"""),"681162")</f>
        <v>681162</v>
      </c>
      <c r="C155" s="48" t="str">
        <f ca="1">IFERROR(__xludf.DUMMYFUNCTION("""COMPUTED_VALUE"""),"HALLER")</f>
        <v>HALLER</v>
      </c>
      <c r="D155" s="48" t="str">
        <f ca="1">IFERROR(__xludf.DUMMYFUNCTION("""COMPUTED_VALUE"""),"Sabine")</f>
        <v>Sabine</v>
      </c>
      <c r="E155" s="49" t="str">
        <f ca="1">IFERROR(__xludf.DUMMYFUNCTION("""COMPUTED_VALUE"""),"06680105")</f>
        <v>06680105</v>
      </c>
      <c r="F155" s="48" t="str">
        <f ca="1">IFERROR(__xludf.DUMMYFUNCTION("""COMPUTED_VALUE"""),"MULHOUSE TENNIS DE TABLE")</f>
        <v>MULHOUSE TENNIS DE TABLE</v>
      </c>
      <c r="G155" s="50" t="str">
        <f ca="1">IFERROR(__xludf.DUMMYFUNCTION("""COMPUTED_VALUE"""),"CD68")</f>
        <v>CD68</v>
      </c>
      <c r="H155" s="50" t="str">
        <f ca="1">IFERROR(__xludf.DUMMYFUNCTION("""COMPUTED_VALUE"""),"inactivité 1ère année")</f>
        <v>inactivité 1ère année</v>
      </c>
    </row>
    <row r="156" spans="1:8" ht="12.75">
      <c r="A156" s="46">
        <f ca="1">IFERROR(__xludf.DUMMYFUNCTION("""COMPUTED_VALUE"""),144)</f>
        <v>144</v>
      </c>
      <c r="B156" s="65" t="str">
        <f ca="1">IFERROR(__xludf.DUMMYFUNCTION("""COMPUTED_VALUE"""),"6724222")</f>
        <v>6724222</v>
      </c>
      <c r="C156" s="48" t="str">
        <f ca="1">IFERROR(__xludf.DUMMYFUNCTION("""COMPUTED_VALUE"""),"HALTER")</f>
        <v>HALTER</v>
      </c>
      <c r="D156" s="48" t="str">
        <f ca="1">IFERROR(__xludf.DUMMYFUNCTION("""COMPUTED_VALUE"""),"Nicolas")</f>
        <v>Nicolas</v>
      </c>
      <c r="E156" s="49" t="str">
        <f ca="1">IFERROR(__xludf.DUMMYFUNCTION("""COMPUTED_VALUE"""),"06670187")</f>
        <v>06670187</v>
      </c>
      <c r="F156" s="48" t="str">
        <f ca="1">IFERROR(__xludf.DUMMYFUNCTION("""COMPUTED_VALUE"""),"SCHIRRHEIN-SCHIRRHOFFEN CSCSN")</f>
        <v>SCHIRRHEIN-SCHIRRHOFFEN CSCSN</v>
      </c>
      <c r="G156" s="50" t="str">
        <f ca="1">IFERROR(__xludf.DUMMYFUNCTION("""COMPUTED_VALUE"""),"CD67")</f>
        <v>CD67</v>
      </c>
      <c r="H156" s="50" t="str">
        <f ca="1">IFERROR(__xludf.DUMMYFUNCTION("""COMPUTED_VALUE"""),"inactivité 1ère année")</f>
        <v>inactivité 1ère année</v>
      </c>
    </row>
    <row r="157" spans="1:8" ht="12.75">
      <c r="A157" s="46">
        <f ca="1">IFERROR(__xludf.DUMMYFUNCTION("""COMPUTED_VALUE"""),145)</f>
        <v>145</v>
      </c>
      <c r="B157" s="65" t="str">
        <f ca="1">IFERROR(__xludf.DUMMYFUNCTION("""COMPUTED_VALUE"""),"5415391")</f>
        <v>5415391</v>
      </c>
      <c r="C157" s="48" t="str">
        <f ca="1">IFERROR(__xludf.DUMMYFUNCTION("""COMPUTED_VALUE"""),"HARAU")</f>
        <v>HARAU</v>
      </c>
      <c r="D157" s="48" t="str">
        <f ca="1">IFERROR(__xludf.DUMMYFUNCTION("""COMPUTED_VALUE"""),"Clement")</f>
        <v>Clement</v>
      </c>
      <c r="E157" s="49" t="str">
        <f ca="1">IFERROR(__xludf.DUMMYFUNCTION("""COMPUTED_VALUE"""),"06540088")</f>
        <v>06540088</v>
      </c>
      <c r="F157" s="48" t="str">
        <f ca="1">IFERROR(__xludf.DUMMYFUNCTION("""COMPUTED_VALUE"""),"CHANTEHEUX TT")</f>
        <v>CHANTEHEUX TT</v>
      </c>
      <c r="G157" s="50" t="str">
        <f ca="1">IFERROR(__xludf.DUMMYFUNCTION("""COMPUTED_VALUE"""),"CD54")</f>
        <v>CD54</v>
      </c>
      <c r="H157" s="50" t="str">
        <f ca="1">IFERROR(__xludf.DUMMYFUNCTION("""COMPUTED_VALUE"""),"inactivité 1ère année")</f>
        <v>inactivité 1ère année</v>
      </c>
    </row>
    <row r="158" spans="1:8" ht="12.75">
      <c r="A158" s="46">
        <f ca="1">IFERROR(__xludf.DUMMYFUNCTION("""COMPUTED_VALUE"""),146)</f>
        <v>146</v>
      </c>
      <c r="B158" s="65" t="str">
        <f ca="1">IFERROR(__xludf.DUMMYFUNCTION("""COMPUTED_VALUE"""),"676659")</f>
        <v>676659</v>
      </c>
      <c r="C158" s="48" t="str">
        <f ca="1">IFERROR(__xludf.DUMMYFUNCTION("""COMPUTED_VALUE"""),"HARTER")</f>
        <v>HARTER</v>
      </c>
      <c r="D158" s="48" t="str">
        <f ca="1">IFERROR(__xludf.DUMMYFUNCTION("""COMPUTED_VALUE"""),"Julien")</f>
        <v>Julien</v>
      </c>
      <c r="E158" s="49" t="str">
        <f ca="1">IFERROR(__xludf.DUMMYFUNCTION("""COMPUTED_VALUE"""),"06670160")</f>
        <v>06670160</v>
      </c>
      <c r="F158" s="48" t="str">
        <f ca="1">IFERROR(__xludf.DUMMYFUNCTION("""COMPUTED_VALUE"""),"T.T.Haguenau Wissembourg")</f>
        <v>T.T.Haguenau Wissembourg</v>
      </c>
      <c r="G158" s="50" t="str">
        <f ca="1">IFERROR(__xludf.DUMMYFUNCTION("""COMPUTED_VALUE"""),"CD67")</f>
        <v>CD67</v>
      </c>
      <c r="H158" s="50" t="str">
        <f ca="1">IFERROR(__xludf.DUMMYFUNCTION("""COMPUTED_VALUE"""),"actif")</f>
        <v>actif</v>
      </c>
    </row>
    <row r="159" spans="1:8" ht="12.75">
      <c r="A159" s="46">
        <f ca="1">IFERROR(__xludf.DUMMYFUNCTION("""COMPUTED_VALUE"""),147)</f>
        <v>147</v>
      </c>
      <c r="B159" s="65" t="str">
        <f ca="1">IFERROR(__xludf.DUMMYFUNCTION("""COMPUTED_VALUE"""),"672239")</f>
        <v>672239</v>
      </c>
      <c r="C159" s="48" t="str">
        <f ca="1">IFERROR(__xludf.DUMMYFUNCTION("""COMPUTED_VALUE"""),"HARTER")</f>
        <v>HARTER</v>
      </c>
      <c r="D159" s="48" t="str">
        <f ca="1">IFERROR(__xludf.DUMMYFUNCTION("""COMPUTED_VALUE"""),"Jean-Noel")</f>
        <v>Jean-Noel</v>
      </c>
      <c r="E159" s="49" t="str">
        <f ca="1">IFERROR(__xludf.DUMMYFUNCTION("""COMPUTED_VALUE"""),"06670160")</f>
        <v>06670160</v>
      </c>
      <c r="F159" s="48" t="str">
        <f ca="1">IFERROR(__xludf.DUMMYFUNCTION("""COMPUTED_VALUE"""),"T.T.Haguenau Wissembourg")</f>
        <v>T.T.Haguenau Wissembourg</v>
      </c>
      <c r="G159" s="50" t="str">
        <f ca="1">IFERROR(__xludf.DUMMYFUNCTION("""COMPUTED_VALUE"""),"CD67")</f>
        <v>CD67</v>
      </c>
      <c r="H159" s="50" t="str">
        <f ca="1">IFERROR(__xludf.DUMMYFUNCTION("""COMPUTED_VALUE"""),"actif")</f>
        <v>actif</v>
      </c>
    </row>
    <row r="160" spans="1:8" ht="12.75">
      <c r="A160" s="46">
        <f ca="1">IFERROR(__xludf.DUMMYFUNCTION("""COMPUTED_VALUE"""),148)</f>
        <v>148</v>
      </c>
      <c r="B160" s="65" t="str">
        <f ca="1">IFERROR(__xludf.DUMMYFUNCTION("""COMPUTED_VALUE"""),"8811969")</f>
        <v>8811969</v>
      </c>
      <c r="C160" s="48" t="str">
        <f ca="1">IFERROR(__xludf.DUMMYFUNCTION("""COMPUTED_VALUE"""),"HAWECKER")</f>
        <v>HAWECKER</v>
      </c>
      <c r="D160" s="48" t="str">
        <f ca="1">IFERROR(__xludf.DUMMYFUNCTION("""COMPUTED_VALUE"""),"Jean Christophe")</f>
        <v>Jean Christophe</v>
      </c>
      <c r="E160" s="49" t="str">
        <f ca="1">IFERROR(__xludf.DUMMYFUNCTION("""COMPUTED_VALUE"""),"06880086")</f>
        <v>06880086</v>
      </c>
      <c r="F160" s="48" t="str">
        <f ca="1">IFERROR(__xludf.DUMMYFUNCTION("""COMPUTED_VALUE"""),"MOYENMOUTIER VRTT")</f>
        <v>MOYENMOUTIER VRTT</v>
      </c>
      <c r="G160" s="50" t="str">
        <f ca="1">IFERROR(__xludf.DUMMYFUNCTION("""COMPUTED_VALUE"""),"CD88")</f>
        <v>CD88</v>
      </c>
      <c r="H160" s="50" t="str">
        <f ca="1">IFERROR(__xludf.DUMMYFUNCTION("""COMPUTED_VALUE"""),"inactivité 1ère année")</f>
        <v>inactivité 1ère année</v>
      </c>
    </row>
    <row r="161" spans="1:8" ht="12.75">
      <c r="A161" s="46">
        <f ca="1">IFERROR(__xludf.DUMMYFUNCTION("""COMPUTED_VALUE"""),149)</f>
        <v>149</v>
      </c>
      <c r="B161" s="65" t="str">
        <f ca="1">IFERROR(__xludf.DUMMYFUNCTION("""COMPUTED_VALUE"""),"676111")</f>
        <v>676111</v>
      </c>
      <c r="C161" s="48" t="str">
        <f ca="1">IFERROR(__xludf.DUMMYFUNCTION("""COMPUTED_VALUE"""),"HEBRARD")</f>
        <v>HEBRARD</v>
      </c>
      <c r="D161" s="48" t="str">
        <f ca="1">IFERROR(__xludf.DUMMYFUNCTION("""COMPUTED_VALUE"""),"Frederic")</f>
        <v>Frederic</v>
      </c>
      <c r="E161" s="49" t="str">
        <f ca="1">IFERROR(__xludf.DUMMYFUNCTION("""COMPUTED_VALUE"""),"06670160")</f>
        <v>06670160</v>
      </c>
      <c r="F161" s="48" t="str">
        <f ca="1">IFERROR(__xludf.DUMMYFUNCTION("""COMPUTED_VALUE"""),"T.T.Haguenau Wissembourg")</f>
        <v>T.T.Haguenau Wissembourg</v>
      </c>
      <c r="G161" s="50" t="str">
        <f ca="1">IFERROR(__xludf.DUMMYFUNCTION("""COMPUTED_VALUE"""),"CD67")</f>
        <v>CD67</v>
      </c>
      <c r="H161" s="50" t="str">
        <f ca="1">IFERROR(__xludf.DUMMYFUNCTION("""COMPUTED_VALUE"""),"actif")</f>
        <v>actif</v>
      </c>
    </row>
    <row r="162" spans="1:8" ht="12.75">
      <c r="A162" s="46">
        <f ca="1">IFERROR(__xludf.DUMMYFUNCTION("""COMPUTED_VALUE"""),150)</f>
        <v>150</v>
      </c>
      <c r="B162" s="65" t="str">
        <f ca="1">IFERROR(__xludf.DUMMYFUNCTION("""COMPUTED_VALUE"""),"101231")</f>
        <v>101231</v>
      </c>
      <c r="C162" s="48" t="str">
        <f ca="1">IFERROR(__xludf.DUMMYFUNCTION("""COMPUTED_VALUE"""),"HEMONNOT")</f>
        <v>HEMONNOT</v>
      </c>
      <c r="D162" s="48" t="str">
        <f ca="1">IFERROR(__xludf.DUMMYFUNCTION("""COMPUTED_VALUE"""),"Patrick")</f>
        <v>Patrick</v>
      </c>
      <c r="E162" s="49" t="str">
        <f ca="1">IFERROR(__xludf.DUMMYFUNCTION("""COMPUTED_VALUE"""),"06100015")</f>
        <v>06100015</v>
      </c>
      <c r="F162" s="48" t="str">
        <f ca="1">IFERROR(__xludf.DUMMYFUNCTION("""COMPUTED_VALUE"""),"TROYES JEUNE GARDE")</f>
        <v>TROYES JEUNE GARDE</v>
      </c>
      <c r="G162" s="50" t="str">
        <f ca="1">IFERROR(__xludf.DUMMYFUNCTION("""COMPUTED_VALUE"""),"CD10")</f>
        <v>CD10</v>
      </c>
      <c r="H162" s="50" t="str">
        <f ca="1">IFERROR(__xludf.DUMMYFUNCTION("""COMPUTED_VALUE"""),"inactivité 3ème année")</f>
        <v>inactivité 3ème année</v>
      </c>
    </row>
    <row r="163" spans="1:8" ht="12.75">
      <c r="A163" s="46">
        <f ca="1">IFERROR(__xludf.DUMMYFUNCTION("""COMPUTED_VALUE"""),151)</f>
        <v>151</v>
      </c>
      <c r="B163" s="65" t="str">
        <f ca="1">IFERROR(__xludf.DUMMYFUNCTION("""COMPUTED_VALUE"""),"08150")</f>
        <v>08150</v>
      </c>
      <c r="C163" s="48" t="str">
        <f ca="1">IFERROR(__xludf.DUMMYFUNCTION("""COMPUTED_VALUE"""),"HENRARD")</f>
        <v>HENRARD</v>
      </c>
      <c r="D163" s="48" t="str">
        <f ca="1">IFERROR(__xludf.DUMMYFUNCTION("""COMPUTED_VALUE"""),"Jackie")</f>
        <v>Jackie</v>
      </c>
      <c r="E163" s="49" t="str">
        <f ca="1">IFERROR(__xludf.DUMMYFUNCTION("""COMPUTED_VALUE"""),"06080072")</f>
        <v>06080072</v>
      </c>
      <c r="F163" s="48" t="str">
        <f ca="1">IFERROR(__xludf.DUMMYFUNCTION("""COMPUTED_VALUE"""),"POIX TERRON CTT")</f>
        <v>POIX TERRON CTT</v>
      </c>
      <c r="G163" s="50" t="str">
        <f ca="1">IFERROR(__xludf.DUMMYFUNCTION("""COMPUTED_VALUE"""),"CD08")</f>
        <v>CD08</v>
      </c>
      <c r="H163" s="50" t="str">
        <f ca="1">IFERROR(__xludf.DUMMYFUNCTION("""COMPUTED_VALUE"""),"inactivité 3ème année")</f>
        <v>inactivité 3ème année</v>
      </c>
    </row>
    <row r="164" spans="1:8" ht="12.75">
      <c r="A164" s="46">
        <f ca="1">IFERROR(__xludf.DUMMYFUNCTION("""COMPUTED_VALUE"""),152)</f>
        <v>152</v>
      </c>
      <c r="B164" s="65" t="str">
        <f ca="1">IFERROR(__xludf.DUMMYFUNCTION("""COMPUTED_VALUE"""),"577180")</f>
        <v>577180</v>
      </c>
      <c r="C164" s="48" t="str">
        <f ca="1">IFERROR(__xludf.DUMMYFUNCTION("""COMPUTED_VALUE"""),"HERINGER")</f>
        <v>HERINGER</v>
      </c>
      <c r="D164" s="48" t="str">
        <f ca="1">IFERROR(__xludf.DUMMYFUNCTION("""COMPUTED_VALUE"""),"Denis")</f>
        <v>Denis</v>
      </c>
      <c r="E164" s="49" t="str">
        <f ca="1">IFERROR(__xludf.DUMMYFUNCTION("""COMPUTED_VALUE"""),"06570154")</f>
        <v>06570154</v>
      </c>
      <c r="F164" s="48" t="str">
        <f ca="1">IFERROR(__xludf.DUMMYFUNCTION("""COMPUTED_VALUE"""),"SAINT JEAN KOURTZERODE LJ")</f>
        <v>SAINT JEAN KOURTZERODE LJ</v>
      </c>
      <c r="G164" s="50" t="str">
        <f ca="1">IFERROR(__xludf.DUMMYFUNCTION("""COMPUTED_VALUE"""),"CD57")</f>
        <v>CD57</v>
      </c>
      <c r="H164" s="50" t="str">
        <f ca="1">IFERROR(__xludf.DUMMYFUNCTION("""COMPUTED_VALUE"""),"inactivité 2ème année")</f>
        <v>inactivité 2ème année</v>
      </c>
    </row>
    <row r="165" spans="1:8" ht="12.75">
      <c r="A165" s="46">
        <f ca="1">IFERROR(__xludf.DUMMYFUNCTION("""COMPUTED_VALUE"""),153)</f>
        <v>153</v>
      </c>
      <c r="B165" s="65" t="str">
        <f ca="1">IFERROR(__xludf.DUMMYFUNCTION("""COMPUTED_VALUE"""),"5710732")</f>
        <v>5710732</v>
      </c>
      <c r="C165" s="48" t="str">
        <f ca="1">IFERROR(__xludf.DUMMYFUNCTION("""COMPUTED_VALUE"""),"HERINGER")</f>
        <v>HERINGER</v>
      </c>
      <c r="D165" s="48" t="str">
        <f ca="1">IFERROR(__xludf.DUMMYFUNCTION("""COMPUTED_VALUE"""),"Michael")</f>
        <v>Michael</v>
      </c>
      <c r="E165" s="49" t="str">
        <f ca="1">IFERROR(__xludf.DUMMYFUNCTION("""COMPUTED_VALUE"""),"06570154")</f>
        <v>06570154</v>
      </c>
      <c r="F165" s="48" t="str">
        <f ca="1">IFERROR(__xludf.DUMMYFUNCTION("""COMPUTED_VALUE"""),"SAINT JEAN KOURTZERODE LJ")</f>
        <v>SAINT JEAN KOURTZERODE LJ</v>
      </c>
      <c r="G165" s="50" t="str">
        <f ca="1">IFERROR(__xludf.DUMMYFUNCTION("""COMPUTED_VALUE"""),"CD57")</f>
        <v>CD57</v>
      </c>
      <c r="H165" s="50" t="str">
        <f ca="1">IFERROR(__xludf.DUMMYFUNCTION("""COMPUTED_VALUE"""),"inactivité 1ère année")</f>
        <v>inactivité 1ère année</v>
      </c>
    </row>
    <row r="166" spans="1:8" ht="12.75">
      <c r="A166" s="46">
        <f ca="1">IFERROR(__xludf.DUMMYFUNCTION("""COMPUTED_VALUE"""),154)</f>
        <v>154</v>
      </c>
      <c r="B166" s="65" t="str">
        <f ca="1">IFERROR(__xludf.DUMMYFUNCTION("""COMPUTED_VALUE"""),"688906")</f>
        <v>688906</v>
      </c>
      <c r="C166" s="48" t="str">
        <f ca="1">IFERROR(__xludf.DUMMYFUNCTION("""COMPUTED_VALUE"""),"HERNANDEZ")</f>
        <v>HERNANDEZ</v>
      </c>
      <c r="D166" s="48" t="str">
        <f ca="1">IFERROR(__xludf.DUMMYFUNCTION("""COMPUTED_VALUE"""),"Norbert")</f>
        <v>Norbert</v>
      </c>
      <c r="E166" s="49" t="str">
        <f ca="1">IFERROR(__xludf.DUMMYFUNCTION("""COMPUTED_VALUE"""),"06680125")</f>
        <v>06680125</v>
      </c>
      <c r="F166" s="48" t="str">
        <f ca="1">IFERROR(__xludf.DUMMYFUNCTION("""COMPUTED_VALUE"""),"ROSENAU TT")</f>
        <v>ROSENAU TT</v>
      </c>
      <c r="G166" s="50" t="str">
        <f ca="1">IFERROR(__xludf.DUMMYFUNCTION("""COMPUTED_VALUE"""),"CD68")</f>
        <v>CD68</v>
      </c>
      <c r="H166" s="50" t="str">
        <f ca="1">IFERROR(__xludf.DUMMYFUNCTION("""COMPUTED_VALUE"""),"inactivité 2ème année")</f>
        <v>inactivité 2ème année</v>
      </c>
    </row>
    <row r="167" spans="1:8" ht="12.75">
      <c r="A167" s="46">
        <f ca="1">IFERROR(__xludf.DUMMYFUNCTION("""COMPUTED_VALUE"""),155)</f>
        <v>155</v>
      </c>
      <c r="B167" s="66" t="str">
        <f ca="1">IFERROR(__xludf.DUMMYFUNCTION("""COMPUTED_VALUE"""),"578782")</f>
        <v>578782</v>
      </c>
      <c r="C167" s="67" t="str">
        <f ca="1">IFERROR(__xludf.DUMMYFUNCTION("""COMPUTED_VALUE"""),"HERTWEG")</f>
        <v>HERTWEG</v>
      </c>
      <c r="D167" s="68" t="str">
        <f ca="1">IFERROR(__xludf.DUMMYFUNCTION("""COMPUTED_VALUE"""),"Pascal")</f>
        <v>Pascal</v>
      </c>
      <c r="E167" s="69" t="str">
        <f ca="1">IFERROR(__xludf.DUMMYFUNCTION("""COMPUTED_VALUE"""),"06570019")</f>
        <v>06570019</v>
      </c>
      <c r="F167" s="68" t="str">
        <f ca="1">IFERROR(__xludf.DUMMYFUNCTION("""COMPUTED_VALUE"""),"SAINT AVOLD C.T.T.")</f>
        <v>SAINT AVOLD C.T.T.</v>
      </c>
      <c r="G167" s="51" t="str">
        <f ca="1">IFERROR(__xludf.DUMMYFUNCTION("""COMPUTED_VALUE"""),"CD57")</f>
        <v>CD57</v>
      </c>
      <c r="H167" s="51" t="str">
        <f ca="1">IFERROR(__xludf.DUMMYFUNCTION("""COMPUTED_VALUE"""),"inactivité 1ère année")</f>
        <v>inactivité 1ère année</v>
      </c>
    </row>
    <row r="168" spans="1:8" ht="12.75">
      <c r="A168" s="46">
        <f ca="1">IFERROR(__xludf.DUMMYFUNCTION("""COMPUTED_VALUE"""),156)</f>
        <v>156</v>
      </c>
      <c r="B168" s="65" t="str">
        <f ca="1">IFERROR(__xludf.DUMMYFUNCTION("""COMPUTED_VALUE"""),"5413169")</f>
        <v>5413169</v>
      </c>
      <c r="C168" s="48" t="str">
        <f ca="1">IFERROR(__xludf.DUMMYFUNCTION("""COMPUTED_VALUE"""),"HEURTEFEU")</f>
        <v>HEURTEFEU</v>
      </c>
      <c r="D168" s="48" t="str">
        <f ca="1">IFERROR(__xludf.DUMMYFUNCTION("""COMPUTED_VALUE"""),"Yannick")</f>
        <v>Yannick</v>
      </c>
      <c r="E168" s="49" t="str">
        <f ca="1">IFERROR(__xludf.DUMMYFUNCTION("""COMPUTED_VALUE"""),"06540008")</f>
        <v>06540008</v>
      </c>
      <c r="F168" s="48" t="str">
        <f ca="1">IFERROR(__xludf.DUMMYFUNCTION("""COMPUTED_VALUE"""),"ESSEY-SEICHAMPS T.T.")</f>
        <v>ESSEY-SEICHAMPS T.T.</v>
      </c>
      <c r="G168" s="50" t="str">
        <f ca="1">IFERROR(__xludf.DUMMYFUNCTION("""COMPUTED_VALUE"""),"CD54")</f>
        <v>CD54</v>
      </c>
      <c r="H168" s="50" t="str">
        <f ca="1">IFERROR(__xludf.DUMMYFUNCTION("""COMPUTED_VALUE"""),"inactivité 1ère année")</f>
        <v>inactivité 1ère année</v>
      </c>
    </row>
    <row r="169" spans="1:8" ht="12.75">
      <c r="A169" s="46">
        <f ca="1">IFERROR(__xludf.DUMMYFUNCTION("""COMPUTED_VALUE"""),157)</f>
        <v>157</v>
      </c>
      <c r="B169" s="65" t="str">
        <f ca="1">IFERROR(__xludf.DUMMYFUNCTION("""COMPUTED_VALUE"""),"6718967")</f>
        <v>6718967</v>
      </c>
      <c r="C169" s="48" t="str">
        <f ca="1">IFERROR(__xludf.DUMMYFUNCTION("""COMPUTED_VALUE"""),"HIMBER")</f>
        <v>HIMBER</v>
      </c>
      <c r="D169" s="48" t="str">
        <f ca="1">IFERROR(__xludf.DUMMYFUNCTION("""COMPUTED_VALUE"""),"Jean-Claude")</f>
        <v>Jean-Claude</v>
      </c>
      <c r="E169" s="49" t="str">
        <f ca="1">IFERROR(__xludf.DUMMYFUNCTION("""COMPUTED_VALUE"""),"06670045")</f>
        <v>06670045</v>
      </c>
      <c r="F169" s="48" t="str">
        <f ca="1">IFERROR(__xludf.DUMMYFUNCTION("""COMPUTED_VALUE"""),"STRASBOURG RC")</f>
        <v>STRASBOURG RC</v>
      </c>
      <c r="G169" s="50" t="str">
        <f ca="1">IFERROR(__xludf.DUMMYFUNCTION("""COMPUTED_VALUE"""),"CD67")</f>
        <v>CD67</v>
      </c>
      <c r="H169" s="50" t="str">
        <f ca="1">IFERROR(__xludf.DUMMYFUNCTION("""COMPUTED_VALUE"""),"actif")</f>
        <v>actif</v>
      </c>
    </row>
    <row r="170" spans="1:8" ht="12.75">
      <c r="A170" s="46">
        <f ca="1">IFERROR(__xludf.DUMMYFUNCTION("""COMPUTED_VALUE"""),158)</f>
        <v>158</v>
      </c>
      <c r="B170" s="65" t="str">
        <f ca="1">IFERROR(__xludf.DUMMYFUNCTION("""COMPUTED_VALUE"""),"6733478")</f>
        <v>6733478</v>
      </c>
      <c r="C170" s="48" t="str">
        <f ca="1">IFERROR(__xludf.DUMMYFUNCTION("""COMPUTED_VALUE"""),"HOFFMANN")</f>
        <v>HOFFMANN</v>
      </c>
      <c r="D170" s="48" t="str">
        <f ca="1">IFERROR(__xludf.DUMMYFUNCTION("""COMPUTED_VALUE"""),"Julien")</f>
        <v>Julien</v>
      </c>
      <c r="E170" s="49" t="str">
        <f ca="1">IFERROR(__xludf.DUMMYFUNCTION("""COMPUTED_VALUE"""),"06670270")</f>
        <v>06670270</v>
      </c>
      <c r="F170" s="48" t="str">
        <f ca="1">IFERROR(__xludf.DUMMYFUNCTION("""COMPUTED_VALUE"""),"STRASBOURG EUROMETROPOLE TT")</f>
        <v>STRASBOURG EUROMETROPOLE TT</v>
      </c>
      <c r="G170" s="50" t="str">
        <f ca="1">IFERROR(__xludf.DUMMYFUNCTION("""COMPUTED_VALUE"""),"CD67")</f>
        <v>CD67</v>
      </c>
      <c r="H170" s="50" t="str">
        <f ca="1">IFERROR(__xludf.DUMMYFUNCTION("""COMPUTED_VALUE"""),"actif")</f>
        <v>actif</v>
      </c>
    </row>
    <row r="171" spans="1:8" ht="12.75">
      <c r="A171" s="46">
        <f ca="1">IFERROR(__xludf.DUMMYFUNCTION("""COMPUTED_VALUE"""),159)</f>
        <v>159</v>
      </c>
      <c r="B171" s="65" t="str">
        <f ca="1">IFERROR(__xludf.DUMMYFUNCTION("""COMPUTED_VALUE"""),"57165")</f>
        <v>57165</v>
      </c>
      <c r="C171" s="48" t="str">
        <f ca="1">IFERROR(__xludf.DUMMYFUNCTION("""COMPUTED_VALUE"""),"HOSY")</f>
        <v>HOSY</v>
      </c>
      <c r="D171" s="48" t="str">
        <f ca="1">IFERROR(__xludf.DUMMYFUNCTION("""COMPUTED_VALUE"""),"Jean Luc")</f>
        <v>Jean Luc</v>
      </c>
      <c r="E171" s="49" t="str">
        <f ca="1">IFERROR(__xludf.DUMMYFUNCTION("""COMPUTED_VALUE"""),"06570014")</f>
        <v>06570014</v>
      </c>
      <c r="F171" s="48" t="str">
        <f ca="1">IFERROR(__xludf.DUMMYFUNCTION("""COMPUTED_VALUE"""),"MANOM J.S.")</f>
        <v>MANOM J.S.</v>
      </c>
      <c r="G171" s="50" t="str">
        <f ca="1">IFERROR(__xludf.DUMMYFUNCTION("""COMPUTED_VALUE"""),"CD57")</f>
        <v>CD57</v>
      </c>
      <c r="H171" s="50" t="str">
        <f ca="1">IFERROR(__xludf.DUMMYFUNCTION("""COMPUTED_VALUE"""),"inactivité 2ème année")</f>
        <v>inactivité 2ème année</v>
      </c>
    </row>
    <row r="172" spans="1:8" ht="12.75">
      <c r="A172" s="46">
        <f ca="1">IFERROR(__xludf.DUMMYFUNCTION("""COMPUTED_VALUE"""),160)</f>
        <v>160</v>
      </c>
      <c r="B172" s="65" t="str">
        <f ca="1">IFERROR(__xludf.DUMMYFUNCTION("""COMPUTED_VALUE"""),"5711140")</f>
        <v>5711140</v>
      </c>
      <c r="C172" s="48" t="str">
        <f ca="1">IFERROR(__xludf.DUMMYFUNCTION("""COMPUTED_VALUE"""),"HOSY")</f>
        <v>HOSY</v>
      </c>
      <c r="D172" s="48" t="str">
        <f ca="1">IFERROR(__xludf.DUMMYFUNCTION("""COMPUTED_VALUE"""),"Angeline")</f>
        <v>Angeline</v>
      </c>
      <c r="E172" s="49" t="str">
        <f ca="1">IFERROR(__xludf.DUMMYFUNCTION("""COMPUTED_VALUE"""),"06570014")</f>
        <v>06570014</v>
      </c>
      <c r="F172" s="48" t="str">
        <f ca="1">IFERROR(__xludf.DUMMYFUNCTION("""COMPUTED_VALUE"""),"MANOM J.S.")</f>
        <v>MANOM J.S.</v>
      </c>
      <c r="G172" s="50" t="str">
        <f ca="1">IFERROR(__xludf.DUMMYFUNCTION("""COMPUTED_VALUE"""),"CD57")</f>
        <v>CD57</v>
      </c>
      <c r="H172" s="50" t="str">
        <f ca="1">IFERROR(__xludf.DUMMYFUNCTION("""COMPUTED_VALUE"""),"inactivité 2ème année")</f>
        <v>inactivité 2ème année</v>
      </c>
    </row>
    <row r="173" spans="1:8" ht="12.75">
      <c r="A173" s="46">
        <f ca="1">IFERROR(__xludf.DUMMYFUNCTION("""COMPUTED_VALUE"""),161)</f>
        <v>161</v>
      </c>
      <c r="B173" s="65" t="str">
        <f ca="1">IFERROR(__xludf.DUMMYFUNCTION("""COMPUTED_VALUE"""),"677993")</f>
        <v>677993</v>
      </c>
      <c r="C173" s="48" t="str">
        <f ca="1">IFERROR(__xludf.DUMMYFUNCTION("""COMPUTED_VALUE"""),"HUBER")</f>
        <v>HUBER</v>
      </c>
      <c r="D173" s="48" t="str">
        <f ca="1">IFERROR(__xludf.DUMMYFUNCTION("""COMPUTED_VALUE"""),"Eric")</f>
        <v>Eric</v>
      </c>
      <c r="E173" s="49" t="str">
        <f ca="1">IFERROR(__xludf.DUMMYFUNCTION("""COMPUTED_VALUE"""),"06670187")</f>
        <v>06670187</v>
      </c>
      <c r="F173" s="48" t="str">
        <f ca="1">IFERROR(__xludf.DUMMYFUNCTION("""COMPUTED_VALUE"""),"SCHIRRHEIN-SCHIRRHOFFEN CSCSN")</f>
        <v>SCHIRRHEIN-SCHIRRHOFFEN CSCSN</v>
      </c>
      <c r="G173" s="50" t="str">
        <f ca="1">IFERROR(__xludf.DUMMYFUNCTION("""COMPUTED_VALUE"""),"CD67")</f>
        <v>CD67</v>
      </c>
      <c r="H173" s="50" t="str">
        <f ca="1">IFERROR(__xludf.DUMMYFUNCTION("""COMPUTED_VALUE"""),"inactivité 1ère année")</f>
        <v>inactivité 1ère année</v>
      </c>
    </row>
    <row r="174" spans="1:8" ht="12.75">
      <c r="A174" s="46">
        <f ca="1">IFERROR(__xludf.DUMMYFUNCTION("""COMPUTED_VALUE"""),162)</f>
        <v>162</v>
      </c>
      <c r="B174" s="65" t="str">
        <f ca="1">IFERROR(__xludf.DUMMYFUNCTION("""COMPUTED_VALUE"""),"081117")</f>
        <v>081117</v>
      </c>
      <c r="C174" s="48" t="str">
        <f ca="1">IFERROR(__xludf.DUMMYFUNCTION("""COMPUTED_VALUE"""),"HUBERT")</f>
        <v>HUBERT</v>
      </c>
      <c r="D174" s="48" t="str">
        <f ca="1">IFERROR(__xludf.DUMMYFUNCTION("""COMPUTED_VALUE"""),"Daniel")</f>
        <v>Daniel</v>
      </c>
      <c r="E174" s="49" t="str">
        <f ca="1">IFERROR(__xludf.DUMMYFUNCTION("""COMPUTED_VALUE"""),"06080047")</f>
        <v>06080047</v>
      </c>
      <c r="F174" s="48" t="str">
        <f ca="1">IFERROR(__xludf.DUMMYFUNCTION("""COMPUTED_VALUE"""),"MONTCY NOTRE DAME PPC")</f>
        <v>MONTCY NOTRE DAME PPC</v>
      </c>
      <c r="G174" s="50" t="str">
        <f ca="1">IFERROR(__xludf.DUMMYFUNCTION("""COMPUTED_VALUE"""),"CD08")</f>
        <v>CD08</v>
      </c>
      <c r="H174" s="50" t="str">
        <f ca="1">IFERROR(__xludf.DUMMYFUNCTION("""COMPUTED_VALUE"""),"inactivité 3ème année")</f>
        <v>inactivité 3ème année</v>
      </c>
    </row>
    <row r="175" spans="1:8" ht="12.75">
      <c r="A175" s="46">
        <f ca="1">IFERROR(__xludf.DUMMYFUNCTION("""COMPUTED_VALUE"""),163)</f>
        <v>163</v>
      </c>
      <c r="B175" s="65" t="str">
        <f ca="1">IFERROR(__xludf.DUMMYFUNCTION("""COMPUTED_VALUE"""),"67712")</f>
        <v>67712</v>
      </c>
      <c r="C175" s="48" t="str">
        <f ca="1">IFERROR(__xludf.DUMMYFUNCTION("""COMPUTED_VALUE"""),"HUBRECHT")</f>
        <v>HUBRECHT</v>
      </c>
      <c r="D175" s="48" t="str">
        <f ca="1">IFERROR(__xludf.DUMMYFUNCTION("""COMPUTED_VALUE"""),"Claude")</f>
        <v>Claude</v>
      </c>
      <c r="E175" s="49" t="str">
        <f ca="1">IFERROR(__xludf.DUMMYFUNCTION("""COMPUTED_VALUE"""),"06670010")</f>
        <v>06670010</v>
      </c>
      <c r="F175" s="48" t="str">
        <f ca="1">IFERROR(__xludf.DUMMYFUNCTION("""COMPUTED_VALUE"""),"SCHILTIGHEIM SU TT")</f>
        <v>SCHILTIGHEIM SU TT</v>
      </c>
      <c r="G175" s="50" t="str">
        <f ca="1">IFERROR(__xludf.DUMMYFUNCTION("""COMPUTED_VALUE"""),"CD67")</f>
        <v>CD67</v>
      </c>
      <c r="H175" s="50" t="str">
        <f ca="1">IFERROR(__xludf.DUMMYFUNCTION("""COMPUTED_VALUE"""),"inactivité 3ème année")</f>
        <v>inactivité 3ème année</v>
      </c>
    </row>
    <row r="176" spans="1:8" ht="12.75">
      <c r="A176" s="46">
        <f ca="1">IFERROR(__xludf.DUMMYFUNCTION("""COMPUTED_VALUE"""),164)</f>
        <v>164</v>
      </c>
      <c r="B176" s="65" t="str">
        <f ca="1">IFERROR(__xludf.DUMMYFUNCTION("""COMPUTED_VALUE"""),"686956")</f>
        <v>686956</v>
      </c>
      <c r="C176" s="48" t="str">
        <f ca="1">IFERROR(__xludf.DUMMYFUNCTION("""COMPUTED_VALUE"""),"HUEBER")</f>
        <v>HUEBER</v>
      </c>
      <c r="D176" s="48" t="str">
        <f ca="1">IFERROR(__xludf.DUMMYFUNCTION("""COMPUTED_VALUE"""),"Christophe")</f>
        <v>Christophe</v>
      </c>
      <c r="E176" s="49" t="str">
        <f ca="1">IFERROR(__xludf.DUMMYFUNCTION("""COMPUTED_VALUE"""),"06680011")</f>
        <v>06680011</v>
      </c>
      <c r="F176" s="48" t="str">
        <f ca="1">IFERROR(__xludf.DUMMYFUNCTION("""COMPUTED_VALUE"""),"RIXHEIM PPA")</f>
        <v>RIXHEIM PPA</v>
      </c>
      <c r="G176" s="50" t="str">
        <f ca="1">IFERROR(__xludf.DUMMYFUNCTION("""COMPUTED_VALUE"""),"CD68")</f>
        <v>CD68</v>
      </c>
      <c r="H176" s="50" t="str">
        <f ca="1">IFERROR(__xludf.DUMMYFUNCTION("""COMPUTED_VALUE"""),"inactivité 3ème année")</f>
        <v>inactivité 3ème année</v>
      </c>
    </row>
    <row r="177" spans="1:8" ht="12.75">
      <c r="A177" s="46">
        <f ca="1">IFERROR(__xludf.DUMMYFUNCTION("""COMPUTED_VALUE"""),165)</f>
        <v>165</v>
      </c>
      <c r="B177" s="65" t="str">
        <f ca="1">IFERROR(__xludf.DUMMYFUNCTION("""COMPUTED_VALUE"""),"883705")</f>
        <v>883705</v>
      </c>
      <c r="C177" s="48" t="str">
        <f ca="1">IFERROR(__xludf.DUMMYFUNCTION("""COMPUTED_VALUE"""),"HUGNY")</f>
        <v>HUGNY</v>
      </c>
      <c r="D177" s="48" t="str">
        <f ca="1">IFERROR(__xludf.DUMMYFUNCTION("""COMPUTED_VALUE"""),"Yannick")</f>
        <v>Yannick</v>
      </c>
      <c r="E177" s="49" t="str">
        <f ca="1">IFERROR(__xludf.DUMMYFUNCTION("""COMPUTED_VALUE"""),"06880017")</f>
        <v>06880017</v>
      </c>
      <c r="F177" s="48" t="str">
        <f ca="1">IFERROR(__xludf.DUMMYFUNCTION("""COMPUTED_VALUE"""),"UZEMAIN")</f>
        <v>UZEMAIN</v>
      </c>
      <c r="G177" s="50" t="str">
        <f ca="1">IFERROR(__xludf.DUMMYFUNCTION("""COMPUTED_VALUE"""),"CD88")</f>
        <v>CD88</v>
      </c>
      <c r="H177" s="50" t="str">
        <f ca="1">IFERROR(__xludf.DUMMYFUNCTION("""COMPUTED_VALUE"""),"inactivité 2ème année")</f>
        <v>inactivité 2ème année</v>
      </c>
    </row>
    <row r="178" spans="1:8" ht="12.75">
      <c r="A178" s="46">
        <f ca="1">IFERROR(__xludf.DUMMYFUNCTION("""COMPUTED_VALUE"""),166)</f>
        <v>166</v>
      </c>
      <c r="B178" s="70" t="str">
        <f ca="1">IFERROR(__xludf.DUMMYFUNCTION("""COMPUTED_VALUE"""),"836759")</f>
        <v>836759</v>
      </c>
      <c r="C178" s="71" t="str">
        <f ca="1">IFERROR(__xludf.DUMMYFUNCTION("""COMPUTED_VALUE"""),"HUMBERT")</f>
        <v>HUMBERT</v>
      </c>
      <c r="D178" s="72" t="str">
        <f ca="1">IFERROR(__xludf.DUMMYFUNCTION("""COMPUTED_VALUE"""),"Jerome")</f>
        <v>Jerome</v>
      </c>
      <c r="E178" s="73" t="str">
        <f ca="1">IFERROR(__xludf.DUMMYFUNCTION("""COMPUTED_VALUE"""),"06880123")</f>
        <v>06880123</v>
      </c>
      <c r="F178" s="72" t="str">
        <f ca="1">IFERROR(__xludf.DUMMYFUNCTION("""COMPUTED_VALUE"""),"ETIVAL ASRTT")</f>
        <v>ETIVAL ASRTT</v>
      </c>
      <c r="G178" s="52" t="str">
        <f ca="1">IFERROR(__xludf.DUMMYFUNCTION("""COMPUTED_VALUE"""),"CD88")</f>
        <v>CD88</v>
      </c>
      <c r="H178" s="52" t="str">
        <f ca="1">IFERROR(__xludf.DUMMYFUNCTION("""COMPUTED_VALUE"""),"inactivité 1ère année")</f>
        <v>inactivité 1ère année</v>
      </c>
    </row>
    <row r="179" spans="1:8" ht="12.75">
      <c r="A179" s="46">
        <f ca="1">IFERROR(__xludf.DUMMYFUNCTION("""COMPUTED_VALUE"""),167)</f>
        <v>167</v>
      </c>
      <c r="B179" s="65" t="str">
        <f ca="1">IFERROR(__xludf.DUMMYFUNCTION("""COMPUTED_VALUE"""),"6814319")</f>
        <v>6814319</v>
      </c>
      <c r="C179" s="48" t="str">
        <f ca="1">IFERROR(__xludf.DUMMYFUNCTION("""COMPUTED_VALUE"""),"HURTH")</f>
        <v>HURTH</v>
      </c>
      <c r="D179" s="48" t="str">
        <f ca="1">IFERROR(__xludf.DUMMYFUNCTION("""COMPUTED_VALUE"""),"Laurent")</f>
        <v>Laurent</v>
      </c>
      <c r="E179" s="49" t="str">
        <f ca="1">IFERROR(__xludf.DUMMYFUNCTION("""COMPUTED_VALUE"""),"06680071")</f>
        <v>06680071</v>
      </c>
      <c r="F179" s="48" t="str">
        <f ca="1">IFERROR(__xludf.DUMMYFUNCTION("""COMPUTED_VALUE"""),"ISSENHEIM TT")</f>
        <v>ISSENHEIM TT</v>
      </c>
      <c r="G179" s="50" t="str">
        <f ca="1">IFERROR(__xludf.DUMMYFUNCTION("""COMPUTED_VALUE"""),"CD68")</f>
        <v>CD68</v>
      </c>
      <c r="H179" s="50" t="str">
        <f ca="1">IFERROR(__xludf.DUMMYFUNCTION("""COMPUTED_VALUE"""),"inactivité 1ère année")</f>
        <v>inactivité 1ère année</v>
      </c>
    </row>
    <row r="180" spans="1:8" ht="12.75">
      <c r="A180" s="46">
        <f ca="1">IFERROR(__xludf.DUMMYFUNCTION("""COMPUTED_VALUE"""),168)</f>
        <v>168</v>
      </c>
      <c r="B180" s="65" t="str">
        <f ca="1">IFERROR(__xludf.DUMMYFUNCTION("""COMPUTED_VALUE"""),"102532")</f>
        <v>102532</v>
      </c>
      <c r="C180" s="48" t="str">
        <f ca="1">IFERROR(__xludf.DUMMYFUNCTION("""COMPUTED_VALUE"""),"IDOUX")</f>
        <v>IDOUX</v>
      </c>
      <c r="D180" s="48" t="str">
        <f ca="1">IFERROR(__xludf.DUMMYFUNCTION("""COMPUTED_VALUE"""),"Maximilien")</f>
        <v>Maximilien</v>
      </c>
      <c r="E180" s="49" t="str">
        <f ca="1">IFERROR(__xludf.DUMMYFUNCTION("""COMPUTED_VALUE"""),"06100021")</f>
        <v>06100021</v>
      </c>
      <c r="F180" s="48" t="str">
        <f ca="1">IFERROR(__xludf.DUMMYFUNCTION("""COMPUTED_VALUE"""),"ARCIS ASATT")</f>
        <v>ARCIS ASATT</v>
      </c>
      <c r="G180" s="50" t="str">
        <f ca="1">IFERROR(__xludf.DUMMYFUNCTION("""COMPUTED_VALUE"""),"CD10")</f>
        <v>CD10</v>
      </c>
      <c r="H180" s="50" t="str">
        <f ca="1">IFERROR(__xludf.DUMMYFUNCTION("""COMPUTED_VALUE"""),"inactivité 3ème année")</f>
        <v>inactivité 3ème année</v>
      </c>
    </row>
    <row r="181" spans="1:8" ht="12.75">
      <c r="A181" s="46">
        <f ca="1">IFERROR(__xludf.DUMMYFUNCTION("""COMPUTED_VALUE"""),169)</f>
        <v>169</v>
      </c>
      <c r="B181" s="65" t="str">
        <f ca="1">IFERROR(__xludf.DUMMYFUNCTION("""COMPUTED_VALUE"""),"6714638")</f>
        <v>6714638</v>
      </c>
      <c r="C181" s="48" t="str">
        <f ca="1">IFERROR(__xludf.DUMMYFUNCTION("""COMPUTED_VALUE"""),"INEICHEN")</f>
        <v>INEICHEN</v>
      </c>
      <c r="D181" s="48" t="str">
        <f ca="1">IFERROR(__xludf.DUMMYFUNCTION("""COMPUTED_VALUE"""),"Laurent")</f>
        <v>Laurent</v>
      </c>
      <c r="E181" s="49" t="str">
        <f ca="1">IFERROR(__xludf.DUMMYFUNCTION("""COMPUTED_VALUE"""),"06670002")</f>
        <v>06670002</v>
      </c>
      <c r="F181" s="48" t="str">
        <f ca="1">IFERROR(__xludf.DUMMYFUNCTION("""COMPUTED_VALUE"""),"STRASBOURG ST JEAN CS 1852")</f>
        <v>STRASBOURG ST JEAN CS 1852</v>
      </c>
      <c r="G181" s="50" t="str">
        <f ca="1">IFERROR(__xludf.DUMMYFUNCTION("""COMPUTED_VALUE"""),"CD67")</f>
        <v>CD67</v>
      </c>
      <c r="H181" s="50" t="str">
        <f ca="1">IFERROR(__xludf.DUMMYFUNCTION("""COMPUTED_VALUE"""),"inactivité 2ème année")</f>
        <v>inactivité 2ème année</v>
      </c>
    </row>
    <row r="182" spans="1:8" ht="12.75">
      <c r="A182" s="46">
        <f ca="1">IFERROR(__xludf.DUMMYFUNCTION("""COMPUTED_VALUE"""),170)</f>
        <v>170</v>
      </c>
      <c r="B182" s="65" t="str">
        <f ca="1">IFERROR(__xludf.DUMMYFUNCTION("""COMPUTED_VALUE"""),"521537")</f>
        <v>521537</v>
      </c>
      <c r="C182" s="48" t="str">
        <f ca="1">IFERROR(__xludf.DUMMYFUNCTION("""COMPUTED_VALUE"""),"JACQUOT")</f>
        <v>JACQUOT</v>
      </c>
      <c r="D182" s="48" t="str">
        <f ca="1">IFERROR(__xludf.DUMMYFUNCTION("""COMPUTED_VALUE"""),"Raymond")</f>
        <v>Raymond</v>
      </c>
      <c r="E182" s="49" t="str">
        <f ca="1">IFERROR(__xludf.DUMMYFUNCTION("""COMPUTED_VALUE"""),"06520001")</f>
        <v>06520001</v>
      </c>
      <c r="F182" s="48" t="str">
        <f ca="1">IFERROR(__xludf.DUMMYFUNCTION("""COMPUTED_VALUE"""),"ST DIZIER CSB")</f>
        <v>ST DIZIER CSB</v>
      </c>
      <c r="G182" s="50" t="str">
        <f ca="1">IFERROR(__xludf.DUMMYFUNCTION("""COMPUTED_VALUE"""),"CD52")</f>
        <v>CD52</v>
      </c>
      <c r="H182" s="50" t="str">
        <f ca="1">IFERROR(__xludf.DUMMYFUNCTION("""COMPUTED_VALUE"""),"inactivité 3ème année")</f>
        <v>inactivité 3ème année</v>
      </c>
    </row>
    <row r="183" spans="1:8" ht="12.75">
      <c r="A183" s="46">
        <f ca="1">IFERROR(__xludf.DUMMYFUNCTION("""COMPUTED_VALUE"""),171)</f>
        <v>171</v>
      </c>
      <c r="B183" s="65" t="str">
        <f ca="1">IFERROR(__xludf.DUMMYFUNCTION("""COMPUTED_VALUE"""),"8813895")</f>
        <v>8813895</v>
      </c>
      <c r="C183" s="48" t="str">
        <f ca="1">IFERROR(__xludf.DUMMYFUNCTION("""COMPUTED_VALUE"""),"JACQUOT")</f>
        <v>JACQUOT</v>
      </c>
      <c r="D183" s="67" t="str">
        <f ca="1">IFERROR(__xludf.DUMMYFUNCTION("""COMPUTED_VALUE"""),"Lyne")</f>
        <v>Lyne</v>
      </c>
      <c r="E183" s="69" t="str">
        <f ca="1">IFERROR(__xludf.DUMMYFUNCTION("""COMPUTED_VALUE"""),"06570111")</f>
        <v>06570111</v>
      </c>
      <c r="F183" s="68" t="str">
        <f ca="1">IFERROR(__xludf.DUMMYFUNCTION("""COMPUTED_VALUE"""),"SARREBOURG TT")</f>
        <v>SARREBOURG TT</v>
      </c>
      <c r="G183" s="51" t="str">
        <f ca="1">IFERROR(__xludf.DUMMYFUNCTION("""COMPUTED_VALUE"""),"CD57")</f>
        <v>CD57</v>
      </c>
      <c r="H183" s="51" t="str">
        <f ca="1">IFERROR(__xludf.DUMMYFUNCTION("""COMPUTED_VALUE"""),"inactivité 2ème année")</f>
        <v>inactivité 2ème année</v>
      </c>
    </row>
    <row r="184" spans="1:8" ht="12.75">
      <c r="A184" s="46">
        <f ca="1">IFERROR(__xludf.DUMMYFUNCTION("""COMPUTED_VALUE"""),172)</f>
        <v>172</v>
      </c>
      <c r="B184" s="65" t="str">
        <f ca="1">IFERROR(__xludf.DUMMYFUNCTION("""COMPUTED_VALUE"""),"676757")</f>
        <v>676757</v>
      </c>
      <c r="C184" s="48" t="str">
        <f ca="1">IFERROR(__xludf.DUMMYFUNCTION("""COMPUTED_VALUE"""),"JAEGER")</f>
        <v>JAEGER</v>
      </c>
      <c r="D184" s="48" t="str">
        <f ca="1">IFERROR(__xludf.DUMMYFUNCTION("""COMPUTED_VALUE"""),"Jean-Jacques")</f>
        <v>Jean-Jacques</v>
      </c>
      <c r="E184" s="49" t="str">
        <f ca="1">IFERROR(__xludf.DUMMYFUNCTION("""COMPUTED_VALUE"""),"06670279")</f>
        <v>06670279</v>
      </c>
      <c r="F184" s="48" t="str">
        <f ca="1">IFERROR(__xludf.DUMMYFUNCTION("""COMPUTED_VALUE"""),"Etoile Pongiste de SCHLEITHAL ")</f>
        <v xml:space="preserve">Etoile Pongiste de SCHLEITHAL </v>
      </c>
      <c r="G184" s="50" t="str">
        <f ca="1">IFERROR(__xludf.DUMMYFUNCTION("""COMPUTED_VALUE"""),"CD67")</f>
        <v>CD67</v>
      </c>
      <c r="H184" s="50" t="str">
        <f ca="1">IFERROR(__xludf.DUMMYFUNCTION("""COMPUTED_VALUE"""),"actif")</f>
        <v>actif</v>
      </c>
    </row>
    <row r="185" spans="1:8" ht="12.75">
      <c r="A185" s="46">
        <f ca="1">IFERROR(__xludf.DUMMYFUNCTION("""COMPUTED_VALUE"""),173)</f>
        <v>173</v>
      </c>
      <c r="B185" s="65" t="str">
        <f ca="1">IFERROR(__xludf.DUMMYFUNCTION("""COMPUTED_VALUE"""),"6724322")</f>
        <v>6724322</v>
      </c>
      <c r="C185" s="48" t="str">
        <f ca="1">IFERROR(__xludf.DUMMYFUNCTION("""COMPUTED_VALUE"""),"JAMBERT")</f>
        <v>JAMBERT</v>
      </c>
      <c r="D185" s="48" t="str">
        <f ca="1">IFERROR(__xludf.DUMMYFUNCTION("""COMPUTED_VALUE"""),"Cédric")</f>
        <v>Cédric</v>
      </c>
      <c r="E185" s="49" t="str">
        <f ca="1">IFERROR(__xludf.DUMMYFUNCTION("""COMPUTED_VALUE"""),"06670195")</f>
        <v>06670195</v>
      </c>
      <c r="F185" s="48" t="str">
        <f ca="1">IFERROR(__xludf.DUMMYFUNCTION("""COMPUTED_VALUE"""),"HANAU Tennis de Table")</f>
        <v>HANAU Tennis de Table</v>
      </c>
      <c r="G185" s="50" t="str">
        <f ca="1">IFERROR(__xludf.DUMMYFUNCTION("""COMPUTED_VALUE"""),"CD67")</f>
        <v>CD67</v>
      </c>
      <c r="H185" s="50" t="str">
        <f ca="1">IFERROR(__xludf.DUMMYFUNCTION("""COMPUTED_VALUE"""),"inactivité 1ère année")</f>
        <v>inactivité 1ère année</v>
      </c>
    </row>
    <row r="186" spans="1:8" ht="12.75">
      <c r="A186" s="46">
        <f ca="1">IFERROR(__xludf.DUMMYFUNCTION("""COMPUTED_VALUE"""),174)</f>
        <v>174</v>
      </c>
      <c r="B186" s="65" t="str">
        <f ca="1">IFERROR(__xludf.DUMMYFUNCTION("""COMPUTED_VALUE"""),"886321")</f>
        <v>886321</v>
      </c>
      <c r="C186" s="48" t="str">
        <f ca="1">IFERROR(__xludf.DUMMYFUNCTION("""COMPUTED_VALUE"""),"JAMIN")</f>
        <v>JAMIN</v>
      </c>
      <c r="D186" s="48" t="str">
        <f ca="1">IFERROR(__xludf.DUMMYFUNCTION("""COMPUTED_VALUE"""),"Thibaut")</f>
        <v>Thibaut</v>
      </c>
      <c r="E186" s="49" t="str">
        <f ca="1">IFERROR(__xludf.DUMMYFUNCTION("""COMPUTED_VALUE"""),"06670027")</f>
        <v>06670027</v>
      </c>
      <c r="F186" s="48" t="str">
        <f ca="1">IFERROR(__xludf.DUMMYFUNCTION("""COMPUTED_VALUE"""),"ROSHEIM CA")</f>
        <v>ROSHEIM CA</v>
      </c>
      <c r="G186" s="50" t="str">
        <f ca="1">IFERROR(__xludf.DUMMYFUNCTION("""COMPUTED_VALUE"""),"CD67")</f>
        <v>CD67</v>
      </c>
      <c r="H186" s="50" t="str">
        <f ca="1">IFERROR(__xludf.DUMMYFUNCTION("""COMPUTED_VALUE"""),"inactivité 2ème année")</f>
        <v>inactivité 2ème année</v>
      </c>
    </row>
    <row r="187" spans="1:8" ht="12.75">
      <c r="A187" s="46">
        <f ca="1">IFERROR(__xludf.DUMMYFUNCTION("""COMPUTED_VALUE"""),175)</f>
        <v>175</v>
      </c>
      <c r="B187" s="65" t="str">
        <f ca="1">IFERROR(__xludf.DUMMYFUNCTION("""COMPUTED_VALUE"""),"6726235")</f>
        <v>6726235</v>
      </c>
      <c r="C187" s="48" t="str">
        <f ca="1">IFERROR(__xludf.DUMMYFUNCTION("""COMPUTED_VALUE"""),"JARDINE")</f>
        <v>JARDINE</v>
      </c>
      <c r="D187" s="48" t="str">
        <f ca="1">IFERROR(__xludf.DUMMYFUNCTION("""COMPUTED_VALUE"""),"Nicolas")</f>
        <v>Nicolas</v>
      </c>
      <c r="E187" s="49" t="str">
        <f ca="1">IFERROR(__xludf.DUMMYFUNCTION("""COMPUTED_VALUE"""),"06670261")</f>
        <v>06670261</v>
      </c>
      <c r="F187" s="48" t="str">
        <f ca="1">IFERROR(__xludf.DUMMYFUNCTION("""COMPUTED_VALUE"""),"Avenir KOCHERSBERG TT")</f>
        <v>Avenir KOCHERSBERG TT</v>
      </c>
      <c r="G187" s="50" t="str">
        <f ca="1">IFERROR(__xludf.DUMMYFUNCTION("""COMPUTED_VALUE"""),"CD67")</f>
        <v>CD67</v>
      </c>
      <c r="H187" s="50" t="str">
        <f ca="1">IFERROR(__xludf.DUMMYFUNCTION("""COMPUTED_VALUE"""),"actif")</f>
        <v>actif</v>
      </c>
    </row>
    <row r="188" spans="1:8" ht="12.75">
      <c r="A188" s="46">
        <f ca="1">IFERROR(__xludf.DUMMYFUNCTION("""COMPUTED_VALUE"""),176)</f>
        <v>176</v>
      </c>
      <c r="B188" s="65" t="str">
        <f ca="1">IFERROR(__xludf.DUMMYFUNCTION("""COMPUTED_VALUE"""),"5113554")</f>
        <v>5113554</v>
      </c>
      <c r="C188" s="48" t="str">
        <f ca="1">IFERROR(__xludf.DUMMYFUNCTION("""COMPUTED_VALUE"""),"JEANNIOT")</f>
        <v>JEANNIOT</v>
      </c>
      <c r="D188" s="48" t="str">
        <f ca="1">IFERROR(__xludf.DUMMYFUNCTION("""COMPUTED_VALUE"""),"Fabrice")</f>
        <v>Fabrice</v>
      </c>
      <c r="E188" s="49" t="str">
        <f ca="1">IFERROR(__xludf.DUMMYFUNCTION("""COMPUTED_VALUE"""),"06510020")</f>
        <v>06510020</v>
      </c>
      <c r="F188" s="48" t="str">
        <f ca="1">IFERROR(__xludf.DUMMYFUNCTION("""COMPUTED_VALUE"""),"EPERNAY-PLIVOT PPC")</f>
        <v>EPERNAY-PLIVOT PPC</v>
      </c>
      <c r="G188" s="50" t="str">
        <f ca="1">IFERROR(__xludf.DUMMYFUNCTION("""COMPUTED_VALUE"""),"CD51")</f>
        <v>CD51</v>
      </c>
      <c r="H188" s="50" t="str">
        <f ca="1">IFERROR(__xludf.DUMMYFUNCTION("""COMPUTED_VALUE"""),"inactivité 2ème année")</f>
        <v>inactivité 2ème année</v>
      </c>
    </row>
    <row r="189" spans="1:8" ht="12.75">
      <c r="A189" s="46">
        <f ca="1">IFERROR(__xludf.DUMMYFUNCTION("""COMPUTED_VALUE"""),177)</f>
        <v>177</v>
      </c>
      <c r="B189" s="80" t="str">
        <f ca="1">IFERROR(__xludf.DUMMYFUNCTION("""COMPUTED_VALUE"""),"0811756")</f>
        <v>0811756</v>
      </c>
      <c r="C189" s="68" t="str">
        <f ca="1">IFERROR(__xludf.DUMMYFUNCTION("""COMPUTED_VALUE"""),"JOLY")</f>
        <v>JOLY</v>
      </c>
      <c r="D189" s="68" t="str">
        <f ca="1">IFERROR(__xludf.DUMMYFUNCTION("""COMPUTED_VALUE"""),"Loris")</f>
        <v>Loris</v>
      </c>
      <c r="E189" s="69" t="str">
        <f ca="1">IFERROR(__xludf.DUMMYFUNCTION("""COMPUTED_VALUE"""),"06080013")</f>
        <v>06080013</v>
      </c>
      <c r="F189" s="68" t="str">
        <f ca="1">IFERROR(__xludf.DUMMYFUNCTION("""COMPUTED_VALUE"""),"TAGNON PPC")</f>
        <v>TAGNON PPC</v>
      </c>
      <c r="G189" s="51" t="str">
        <f ca="1">IFERROR(__xludf.DUMMYFUNCTION("""COMPUTED_VALUE"""),"CD08")</f>
        <v>CD08</v>
      </c>
      <c r="H189" s="51" t="str">
        <f ca="1">IFERROR(__xludf.DUMMYFUNCTION("""COMPUTED_VALUE"""),"actif")</f>
        <v>actif</v>
      </c>
    </row>
    <row r="190" spans="1:8" ht="12.75">
      <c r="A190" s="46">
        <f ca="1">IFERROR(__xludf.DUMMYFUNCTION("""COMPUTED_VALUE"""),178)</f>
        <v>178</v>
      </c>
      <c r="B190" s="65" t="str">
        <f ca="1">IFERROR(__xludf.DUMMYFUNCTION("""COMPUTED_VALUE"""),"5417902")</f>
        <v>5417902</v>
      </c>
      <c r="C190" s="48" t="str">
        <f ca="1">IFERROR(__xludf.DUMMYFUNCTION("""COMPUTED_VALUE"""),"JOLY")</f>
        <v>JOLY</v>
      </c>
      <c r="D190" s="48" t="str">
        <f ca="1">IFERROR(__xludf.DUMMYFUNCTION("""COMPUTED_VALUE"""),"Cedric")</f>
        <v>Cedric</v>
      </c>
      <c r="E190" s="49" t="str">
        <f ca="1">IFERROR(__xludf.DUMMYFUNCTION("""COMPUTED_VALUE"""),"06550058")</f>
        <v>06550058</v>
      </c>
      <c r="F190" s="48" t="str">
        <f ca="1">IFERROR(__xludf.DUMMYFUNCTION("""COMPUTED_VALUE"""),"Les Loups de DAMVILLERS ASTT ")</f>
        <v xml:space="preserve">Les Loups de DAMVILLERS ASTT </v>
      </c>
      <c r="G190" s="50" t="str">
        <f ca="1">IFERROR(__xludf.DUMMYFUNCTION("""COMPUTED_VALUE"""),"CD55")</f>
        <v>CD55</v>
      </c>
      <c r="H190" s="50" t="str">
        <f ca="1">IFERROR(__xludf.DUMMYFUNCTION("""COMPUTED_VALUE"""),"actif")</f>
        <v>actif</v>
      </c>
    </row>
    <row r="191" spans="1:8" ht="12.75">
      <c r="A191" s="46">
        <f ca="1">IFERROR(__xludf.DUMMYFUNCTION("""COMPUTED_VALUE"""),179)</f>
        <v>179</v>
      </c>
      <c r="B191" s="65" t="str">
        <f ca="1">IFERROR(__xludf.DUMMYFUNCTION("""COMPUTED_VALUE"""),"104334")</f>
        <v>104334</v>
      </c>
      <c r="C191" s="48" t="str">
        <f ca="1">IFERROR(__xludf.DUMMYFUNCTION("""COMPUTED_VALUE"""),"JUIN")</f>
        <v>JUIN</v>
      </c>
      <c r="D191" s="48" t="str">
        <f ca="1">IFERROR(__xludf.DUMMYFUNCTION("""COMPUTED_VALUE"""),"Claire")</f>
        <v>Claire</v>
      </c>
      <c r="E191" s="81" t="str">
        <f ca="1">IFERROR(__xludf.DUMMYFUNCTION("""COMPUTED_VALUE"""),"06100007")</f>
        <v>06100007</v>
      </c>
      <c r="F191" s="68" t="str">
        <f ca="1">IFERROR(__xludf.DUMMYFUNCTION("""COMPUTED_VALUE"""),"ST PARRES AUX TERTRES AST")</f>
        <v>ST PARRES AUX TERTRES AST</v>
      </c>
      <c r="G191" s="50" t="str">
        <f ca="1">IFERROR(__xludf.DUMMYFUNCTION("""COMPUTED_VALUE"""),"CD10")</f>
        <v>CD10</v>
      </c>
      <c r="H191" s="50" t="str">
        <f ca="1">IFERROR(__xludf.DUMMYFUNCTION("""COMPUTED_VALUE"""),"inactivité 1ère année")</f>
        <v>inactivité 1ère année</v>
      </c>
    </row>
    <row r="192" spans="1:8" ht="12.75">
      <c r="A192" s="46">
        <f ca="1">IFERROR(__xludf.DUMMYFUNCTION("""COMPUTED_VALUE"""),180)</f>
        <v>180</v>
      </c>
      <c r="B192" s="65" t="str">
        <f ca="1">IFERROR(__xludf.DUMMYFUNCTION("""COMPUTED_VALUE"""),"107705")</f>
        <v>107705</v>
      </c>
      <c r="C192" s="48" t="str">
        <f ca="1">IFERROR(__xludf.DUMMYFUNCTION("""COMPUTED_VALUE"""),"JULLY")</f>
        <v>JULLY</v>
      </c>
      <c r="D192" s="48" t="str">
        <f ca="1">IFERROR(__xludf.DUMMYFUNCTION("""COMPUTED_VALUE"""),"Alexas")</f>
        <v>Alexas</v>
      </c>
      <c r="E192" s="49" t="str">
        <f ca="1">IFERROR(__xludf.DUMMYFUNCTION("""COMPUTED_VALUE"""),"06100002")</f>
        <v>06100002</v>
      </c>
      <c r="F192" s="48" t="str">
        <f ca="1">IFERROR(__xludf.DUMMYFUNCTION("""COMPUTED_VALUE"""),"TROYES O.S - NOËS TT")</f>
        <v>TROYES O.S - NOËS TT</v>
      </c>
      <c r="G192" s="50" t="str">
        <f ca="1">IFERROR(__xludf.DUMMYFUNCTION("""COMPUTED_VALUE"""),"CD10")</f>
        <v>CD10</v>
      </c>
      <c r="H192" s="50" t="str">
        <f ca="1">IFERROR(__xludf.DUMMYFUNCTION("""COMPUTED_VALUE"""),"inactivité 1ère année")</f>
        <v>inactivité 1ère année</v>
      </c>
    </row>
    <row r="193" spans="1:8" ht="12.75">
      <c r="A193" s="46">
        <f ca="1">IFERROR(__xludf.DUMMYFUNCTION("""COMPUTED_VALUE"""),181)</f>
        <v>181</v>
      </c>
      <c r="B193" s="65" t="str">
        <f ca="1">IFERROR(__xludf.DUMMYFUNCTION("""COMPUTED_VALUE"""),"2811592")</f>
        <v>2811592</v>
      </c>
      <c r="C193" s="48" t="str">
        <f ca="1">IFERROR(__xludf.DUMMYFUNCTION("""COMPUTED_VALUE"""),"JUSKEWYCZ")</f>
        <v>JUSKEWYCZ</v>
      </c>
      <c r="D193" s="48" t="str">
        <f ca="1">IFERROR(__xludf.DUMMYFUNCTION("""COMPUTED_VALUE"""),"Pierre")</f>
        <v>Pierre</v>
      </c>
      <c r="E193" s="49" t="str">
        <f ca="1">IFERROR(__xludf.DUMMYFUNCTION("""COMPUTED_VALUE"""),"06100002")</f>
        <v>06100002</v>
      </c>
      <c r="F193" s="48" t="str">
        <f ca="1">IFERROR(__xludf.DUMMYFUNCTION("""COMPUTED_VALUE"""),"TROYES O.S - NOËS TT")</f>
        <v>TROYES O.S - NOËS TT</v>
      </c>
      <c r="G193" s="50" t="str">
        <f ca="1">IFERROR(__xludf.DUMMYFUNCTION("""COMPUTED_VALUE"""),"CD10")</f>
        <v>CD10</v>
      </c>
      <c r="H193" s="50" t="str">
        <f ca="1">IFERROR(__xludf.DUMMYFUNCTION("""COMPUTED_VALUE"""),"inactivité 1ère année")</f>
        <v>inactivité 1ère année</v>
      </c>
    </row>
    <row r="194" spans="1:8" ht="12.75">
      <c r="A194" s="46">
        <f ca="1">IFERROR(__xludf.DUMMYFUNCTION("""COMPUTED_VALUE"""),182)</f>
        <v>182</v>
      </c>
      <c r="B194" s="65" t="str">
        <f ca="1">IFERROR(__xludf.DUMMYFUNCTION("""COMPUTED_VALUE"""),"3826074")</f>
        <v>3826074</v>
      </c>
      <c r="C194" s="48" t="str">
        <f ca="1">IFERROR(__xludf.DUMMYFUNCTION("""COMPUTED_VALUE"""),"KAZANTSEV")</f>
        <v>KAZANTSEV</v>
      </c>
      <c r="D194" s="48" t="str">
        <f ca="1">IFERROR(__xludf.DUMMYFUNCTION("""COMPUTED_VALUE"""),"Nicolas")</f>
        <v>Nicolas</v>
      </c>
      <c r="E194" s="49" t="str">
        <f ca="1">IFERROR(__xludf.DUMMYFUNCTION("""COMPUTED_VALUE"""),"06540040")</f>
        <v>06540040</v>
      </c>
      <c r="F194" s="48" t="str">
        <f ca="1">IFERROR(__xludf.DUMMYFUNCTION("""COMPUTED_VALUE"""),"VILLERS LES NANCY C.O.S.")</f>
        <v>VILLERS LES NANCY C.O.S.</v>
      </c>
      <c r="G194" s="50" t="str">
        <f ca="1">IFERROR(__xludf.DUMMYFUNCTION("""COMPUTED_VALUE"""),"CD54")</f>
        <v>CD54</v>
      </c>
      <c r="H194" s="50" t="str">
        <f ca="1">IFERROR(__xludf.DUMMYFUNCTION("""COMPUTED_VALUE"""),"inactivité 3ème année")</f>
        <v>inactivité 3ème année</v>
      </c>
    </row>
    <row r="195" spans="1:8" ht="12.75">
      <c r="A195" s="46">
        <f ca="1">IFERROR(__xludf.DUMMYFUNCTION("""COMPUTED_VALUE"""),183)</f>
        <v>183</v>
      </c>
      <c r="B195" s="65" t="str">
        <f ca="1">IFERROR(__xludf.DUMMYFUNCTION("""COMPUTED_VALUE"""),"5717216")</f>
        <v>5717216</v>
      </c>
      <c r="C195" s="48" t="str">
        <f ca="1">IFERROR(__xludf.DUMMYFUNCTION("""COMPUTED_VALUE"""),"KELLER")</f>
        <v>KELLER</v>
      </c>
      <c r="D195" s="48" t="str">
        <f ca="1">IFERROR(__xludf.DUMMYFUNCTION("""COMPUTED_VALUE"""),"Hubert")</f>
        <v>Hubert</v>
      </c>
      <c r="E195" s="49" t="str">
        <f ca="1">IFERROR(__xludf.DUMMYFUNCTION("""COMPUTED_VALUE"""),"06570019")</f>
        <v>06570019</v>
      </c>
      <c r="F195" s="48" t="str">
        <f ca="1">IFERROR(__xludf.DUMMYFUNCTION("""COMPUTED_VALUE"""),"SAINT AVOLD C.T.T.")</f>
        <v>SAINT AVOLD C.T.T.</v>
      </c>
      <c r="G195" s="50" t="str">
        <f ca="1">IFERROR(__xludf.DUMMYFUNCTION("""COMPUTED_VALUE"""),"CD57")</f>
        <v>CD57</v>
      </c>
      <c r="H195" s="50" t="str">
        <f ca="1">IFERROR(__xludf.DUMMYFUNCTION("""COMPUTED_VALUE"""),"inactivité 3ème année")</f>
        <v>inactivité 3ème année</v>
      </c>
    </row>
    <row r="196" spans="1:8" ht="12.75">
      <c r="A196" s="46">
        <f ca="1">IFERROR(__xludf.DUMMYFUNCTION("""COMPUTED_VALUE"""),184)</f>
        <v>184</v>
      </c>
      <c r="B196" s="65" t="str">
        <f ca="1">IFERROR(__xludf.DUMMYFUNCTION("""COMPUTED_VALUE"""),"5732481")</f>
        <v>5732481</v>
      </c>
      <c r="C196" s="48" t="str">
        <f ca="1">IFERROR(__xludf.DUMMYFUNCTION("""COMPUTED_VALUE"""),"KESLER")</f>
        <v>KESLER</v>
      </c>
      <c r="D196" s="48" t="str">
        <f ca="1">IFERROR(__xludf.DUMMYFUNCTION("""COMPUTED_VALUE"""),"Didier")</f>
        <v>Didier</v>
      </c>
      <c r="E196" s="49" t="str">
        <f ca="1">IFERROR(__xludf.DUMMYFUNCTION("""COMPUTED_VALUE"""),"06570201")</f>
        <v>06570201</v>
      </c>
      <c r="F196" s="48" t="str">
        <f ca="1">IFERROR(__xludf.DUMMYFUNCTION("""COMPUTED_VALUE"""),"SAINT JULIEN LES METZ TT")</f>
        <v>SAINT JULIEN LES METZ TT</v>
      </c>
      <c r="G196" s="50" t="str">
        <f ca="1">IFERROR(__xludf.DUMMYFUNCTION("""COMPUTED_VALUE"""),"CD57")</f>
        <v>CD57</v>
      </c>
      <c r="H196" s="50" t="str">
        <f ca="1">IFERROR(__xludf.DUMMYFUNCTION("""COMPUTED_VALUE"""),"inactivité 3ème année")</f>
        <v>inactivité 3ème année</v>
      </c>
    </row>
    <row r="197" spans="1:8" ht="12.75">
      <c r="A197" s="46">
        <f ca="1">IFERROR(__xludf.DUMMYFUNCTION("""COMPUTED_VALUE"""),185)</f>
        <v>185</v>
      </c>
      <c r="B197" s="65" t="str">
        <f ca="1">IFERROR(__xludf.DUMMYFUNCTION("""COMPUTED_VALUE"""),"678023")</f>
        <v>678023</v>
      </c>
      <c r="C197" s="48" t="str">
        <f ca="1">IFERROR(__xludf.DUMMYFUNCTION("""COMPUTED_VALUE"""),"KLOPFENSTEIN")</f>
        <v>KLOPFENSTEIN</v>
      </c>
      <c r="D197" s="48" t="str">
        <f ca="1">IFERROR(__xludf.DUMMYFUNCTION("""COMPUTED_VALUE"""),"Thomas")</f>
        <v>Thomas</v>
      </c>
      <c r="E197" s="49" t="str">
        <f ca="1">IFERROR(__xludf.DUMMYFUNCTION("""COMPUTED_VALUE"""),"06670195")</f>
        <v>06670195</v>
      </c>
      <c r="F197" s="48" t="str">
        <f ca="1">IFERROR(__xludf.DUMMYFUNCTION("""COMPUTED_VALUE"""),"HANAU Tennis de Table")</f>
        <v>HANAU Tennis de Table</v>
      </c>
      <c r="G197" s="50" t="str">
        <f ca="1">IFERROR(__xludf.DUMMYFUNCTION("""COMPUTED_VALUE"""),"CD67")</f>
        <v>CD67</v>
      </c>
      <c r="H197" s="50" t="str">
        <f ca="1">IFERROR(__xludf.DUMMYFUNCTION("""COMPUTED_VALUE"""),"inactivité 1ère année")</f>
        <v>inactivité 1ère année</v>
      </c>
    </row>
    <row r="198" spans="1:8" ht="12.75">
      <c r="A198" s="46">
        <f ca="1">IFERROR(__xludf.DUMMYFUNCTION("""COMPUTED_VALUE"""),186)</f>
        <v>186</v>
      </c>
      <c r="B198" s="65" t="str">
        <f ca="1">IFERROR(__xludf.DUMMYFUNCTION("""COMPUTED_VALUE"""),"6718936")</f>
        <v>6718936</v>
      </c>
      <c r="C198" s="48" t="str">
        <f ca="1">IFERROR(__xludf.DUMMYFUNCTION("""COMPUTED_VALUE"""),"KLOPFENSTEIN")</f>
        <v>KLOPFENSTEIN</v>
      </c>
      <c r="D198" s="48" t="str">
        <f ca="1">IFERROR(__xludf.DUMMYFUNCTION("""COMPUTED_VALUE"""),"Marc")</f>
        <v>Marc</v>
      </c>
      <c r="E198" s="49" t="str">
        <f ca="1">IFERROR(__xludf.DUMMYFUNCTION("""COMPUTED_VALUE"""),"06670195")</f>
        <v>06670195</v>
      </c>
      <c r="F198" s="48" t="str">
        <f ca="1">IFERROR(__xludf.DUMMYFUNCTION("""COMPUTED_VALUE"""),"HANAU Tennis de Table")</f>
        <v>HANAU Tennis de Table</v>
      </c>
      <c r="G198" s="50" t="str">
        <f ca="1">IFERROR(__xludf.DUMMYFUNCTION("""COMPUTED_VALUE"""),"CD67")</f>
        <v>CD67</v>
      </c>
      <c r="H198" s="50" t="str">
        <f ca="1">IFERROR(__xludf.DUMMYFUNCTION("""COMPUTED_VALUE"""),"inactivité 3ème année")</f>
        <v>inactivité 3ème année</v>
      </c>
    </row>
    <row r="199" spans="1:8" ht="12.75">
      <c r="A199" s="46">
        <f ca="1">IFERROR(__xludf.DUMMYFUNCTION("""COMPUTED_VALUE"""),187)</f>
        <v>187</v>
      </c>
      <c r="B199" s="65" t="str">
        <f ca="1">IFERROR(__xludf.DUMMYFUNCTION("""COMPUTED_VALUE"""),"6717365")</f>
        <v>6717365</v>
      </c>
      <c r="C199" s="48" t="str">
        <f ca="1">IFERROR(__xludf.DUMMYFUNCTION("""COMPUTED_VALUE"""),"KLOTZ")</f>
        <v>KLOTZ</v>
      </c>
      <c r="D199" s="48" t="str">
        <f ca="1">IFERROR(__xludf.DUMMYFUNCTION("""COMPUTED_VALUE"""),"Cedric")</f>
        <v>Cedric</v>
      </c>
      <c r="E199" s="49" t="str">
        <f ca="1">IFERROR(__xludf.DUMMYFUNCTION("""COMPUTED_VALUE"""),"06670203")</f>
        <v>06670203</v>
      </c>
      <c r="F199" s="48" t="str">
        <f ca="1">IFERROR(__xludf.DUMMYFUNCTION("""COMPUTED_VALUE"""),"BETSCHDORF TT")</f>
        <v>BETSCHDORF TT</v>
      </c>
      <c r="G199" s="50" t="str">
        <f ca="1">IFERROR(__xludf.DUMMYFUNCTION("""COMPUTED_VALUE"""),"CD67")</f>
        <v>CD67</v>
      </c>
      <c r="H199" s="50" t="str">
        <f ca="1">IFERROR(__xludf.DUMMYFUNCTION("""COMPUTED_VALUE"""),"inactivité 1ère année")</f>
        <v>inactivité 1ère année</v>
      </c>
    </row>
    <row r="200" spans="1:8" ht="12.75">
      <c r="A200" s="46">
        <f ca="1">IFERROR(__xludf.DUMMYFUNCTION("""COMPUTED_VALUE"""),188)</f>
        <v>188</v>
      </c>
      <c r="B200" s="65" t="str">
        <f ca="1">IFERROR(__xludf.DUMMYFUNCTION("""COMPUTED_VALUE"""),"6715929")</f>
        <v>6715929</v>
      </c>
      <c r="C200" s="48" t="str">
        <f ca="1">IFERROR(__xludf.DUMMYFUNCTION("""COMPUTED_VALUE"""),"KNITTEL")</f>
        <v>KNITTEL</v>
      </c>
      <c r="D200" s="48" t="str">
        <f ca="1">IFERROR(__xludf.DUMMYFUNCTION("""COMPUTED_VALUE"""),"Florian")</f>
        <v>Florian</v>
      </c>
      <c r="E200" s="49" t="str">
        <f ca="1">IFERROR(__xludf.DUMMYFUNCTION("""COMPUTED_VALUE"""),"06670270")</f>
        <v>06670270</v>
      </c>
      <c r="F200" s="48" t="str">
        <f ca="1">IFERROR(__xludf.DUMMYFUNCTION("""COMPUTED_VALUE"""),"STRASBOURG EUROMETROPOLE TT")</f>
        <v>STRASBOURG EUROMETROPOLE TT</v>
      </c>
      <c r="G200" s="50" t="str">
        <f ca="1">IFERROR(__xludf.DUMMYFUNCTION("""COMPUTED_VALUE"""),"CD67")</f>
        <v>CD67</v>
      </c>
      <c r="H200" s="50" t="str">
        <f ca="1">IFERROR(__xludf.DUMMYFUNCTION("""COMPUTED_VALUE"""),"inactivité 2ème année")</f>
        <v>inactivité 2ème année</v>
      </c>
    </row>
    <row r="201" spans="1:8" ht="12.75">
      <c r="A201" s="46">
        <f ca="1">IFERROR(__xludf.DUMMYFUNCTION("""COMPUTED_VALUE"""),189)</f>
        <v>189</v>
      </c>
      <c r="B201" s="65" t="str">
        <f ca="1">IFERROR(__xludf.DUMMYFUNCTION("""COMPUTED_VALUE"""),"5424729")</f>
        <v>5424729</v>
      </c>
      <c r="C201" s="48" t="str">
        <f ca="1">IFERROR(__xludf.DUMMYFUNCTION("""COMPUTED_VALUE"""),"KOCH")</f>
        <v>KOCH</v>
      </c>
      <c r="D201" s="48" t="str">
        <f ca="1">IFERROR(__xludf.DUMMYFUNCTION("""COMPUTED_VALUE"""),"Alan")</f>
        <v>Alan</v>
      </c>
      <c r="E201" s="49" t="str">
        <f ca="1">IFERROR(__xludf.DUMMYFUNCTION("""COMPUTED_VALUE"""),"06540008")</f>
        <v>06540008</v>
      </c>
      <c r="F201" s="48" t="str">
        <f ca="1">IFERROR(__xludf.DUMMYFUNCTION("""COMPUTED_VALUE"""),"ESSEY-SEICHAMPS T.T.")</f>
        <v>ESSEY-SEICHAMPS T.T.</v>
      </c>
      <c r="G201" s="50" t="str">
        <f ca="1">IFERROR(__xludf.DUMMYFUNCTION("""COMPUTED_VALUE"""),"CD54")</f>
        <v>CD54</v>
      </c>
      <c r="H201" s="50" t="str">
        <f ca="1">IFERROR(__xludf.DUMMYFUNCTION("""COMPUTED_VALUE"""),"inactivité 1ère année")</f>
        <v>inactivité 1ère année</v>
      </c>
    </row>
    <row r="202" spans="1:8" ht="12.75">
      <c r="A202" s="46">
        <f ca="1">IFERROR(__xludf.DUMMYFUNCTION("""COMPUTED_VALUE"""),190)</f>
        <v>190</v>
      </c>
      <c r="B202" s="65" t="str">
        <f ca="1">IFERROR(__xludf.DUMMYFUNCTION("""COMPUTED_VALUE"""),"525151")</f>
        <v>525151</v>
      </c>
      <c r="C202" s="48" t="str">
        <f ca="1">IFERROR(__xludf.DUMMYFUNCTION("""COMPUTED_VALUE"""),"KONECNY")</f>
        <v>KONECNY</v>
      </c>
      <c r="D202" s="48" t="str">
        <f ca="1">IFERROR(__xludf.DUMMYFUNCTION("""COMPUTED_VALUE"""),"Mathieu")</f>
        <v>Mathieu</v>
      </c>
      <c r="E202" s="49" t="str">
        <f ca="1">IFERROR(__xludf.DUMMYFUNCTION("""COMPUTED_VALUE"""),"06520003")</f>
        <v>06520003</v>
      </c>
      <c r="F202" s="48" t="str">
        <f ca="1">IFERROR(__xludf.DUMMYFUNCTION("""COMPUTED_VALUE"""),"EURVILLE BIENVILLE Jeunes")</f>
        <v>EURVILLE BIENVILLE Jeunes</v>
      </c>
      <c r="G202" s="50" t="str">
        <f ca="1">IFERROR(__xludf.DUMMYFUNCTION("""COMPUTED_VALUE"""),"CD52")</f>
        <v>CD52</v>
      </c>
      <c r="H202" s="50" t="str">
        <f ca="1">IFERROR(__xludf.DUMMYFUNCTION("""COMPUTED_VALUE"""),"inactivité 1ère année")</f>
        <v>inactivité 1ère année</v>
      </c>
    </row>
    <row r="203" spans="1:8" ht="12.75">
      <c r="A203" s="46">
        <f ca="1">IFERROR(__xludf.DUMMYFUNCTION("""COMPUTED_VALUE"""),191)</f>
        <v>191</v>
      </c>
      <c r="B203" s="65" t="str">
        <f ca="1">IFERROR(__xludf.DUMMYFUNCTION("""COMPUTED_VALUE"""),"687839")</f>
        <v>687839</v>
      </c>
      <c r="C203" s="48" t="str">
        <f ca="1">IFERROR(__xludf.DUMMYFUNCTION("""COMPUTED_VALUE"""),"KOPFF")</f>
        <v>KOPFF</v>
      </c>
      <c r="D203" s="48" t="str">
        <f ca="1">IFERROR(__xludf.DUMMYFUNCTION("""COMPUTED_VALUE"""),"Jean-Philippe")</f>
        <v>Jean-Philippe</v>
      </c>
      <c r="E203" s="49" t="str">
        <f ca="1">IFERROR(__xludf.DUMMYFUNCTION("""COMPUTED_VALUE"""),"06680116")</f>
        <v>06680116</v>
      </c>
      <c r="F203" s="48" t="str">
        <f ca="1">IFERROR(__xludf.DUMMYFUNCTION("""COMPUTED_VALUE"""),"WINTZFELDEN TT")</f>
        <v>WINTZFELDEN TT</v>
      </c>
      <c r="G203" s="50" t="str">
        <f ca="1">IFERROR(__xludf.DUMMYFUNCTION("""COMPUTED_VALUE"""),"CD68")</f>
        <v>CD68</v>
      </c>
      <c r="H203" s="50" t="str">
        <f ca="1">IFERROR(__xludf.DUMMYFUNCTION("""COMPUTED_VALUE"""),"inactivité 2ème année")</f>
        <v>inactivité 2ème année</v>
      </c>
    </row>
    <row r="204" spans="1:8" ht="12.75">
      <c r="A204" s="46">
        <f ca="1">IFERROR(__xludf.DUMMYFUNCTION("""COMPUTED_VALUE"""),192)</f>
        <v>192</v>
      </c>
      <c r="B204" s="65" t="str">
        <f ca="1">IFERROR(__xludf.DUMMYFUNCTION("""COMPUTED_VALUE"""),"6718913")</f>
        <v>6718913</v>
      </c>
      <c r="C204" s="48" t="str">
        <f ca="1">IFERROR(__xludf.DUMMYFUNCTION("""COMPUTED_VALUE"""),"KRAEMER")</f>
        <v>KRAEMER</v>
      </c>
      <c r="D204" s="48" t="str">
        <f ca="1">IFERROR(__xludf.DUMMYFUNCTION("""COMPUTED_VALUE"""),"Alain")</f>
        <v>Alain</v>
      </c>
      <c r="E204" s="49" t="str">
        <f ca="1">IFERROR(__xludf.DUMMYFUNCTION("""COMPUTED_VALUE"""),"06670045")</f>
        <v>06670045</v>
      </c>
      <c r="F204" s="48" t="str">
        <f ca="1">IFERROR(__xludf.DUMMYFUNCTION("""COMPUTED_VALUE"""),"STRASBOURG RC")</f>
        <v>STRASBOURG RC</v>
      </c>
      <c r="G204" s="50" t="str">
        <f ca="1">IFERROR(__xludf.DUMMYFUNCTION("""COMPUTED_VALUE"""),"CD67")</f>
        <v>CD67</v>
      </c>
      <c r="H204" s="50" t="str">
        <f ca="1">IFERROR(__xludf.DUMMYFUNCTION("""COMPUTED_VALUE"""),"actif")</f>
        <v>actif</v>
      </c>
    </row>
    <row r="205" spans="1:8" ht="12.75">
      <c r="A205" s="46">
        <f ca="1">IFERROR(__xludf.DUMMYFUNCTION("""COMPUTED_VALUE"""),193)</f>
        <v>193</v>
      </c>
      <c r="B205" s="65" t="str">
        <f ca="1">IFERROR(__xludf.DUMMYFUNCTION("""COMPUTED_VALUE"""),"6725068")</f>
        <v>6725068</v>
      </c>
      <c r="C205" s="48" t="str">
        <f ca="1">IFERROR(__xludf.DUMMYFUNCTION("""COMPUTED_VALUE"""),"KRETTNICH")</f>
        <v>KRETTNICH</v>
      </c>
      <c r="D205" s="48" t="str">
        <f ca="1">IFERROR(__xludf.DUMMYFUNCTION("""COMPUTED_VALUE"""),"Patrick")</f>
        <v>Patrick</v>
      </c>
      <c r="E205" s="49" t="str">
        <f ca="1">IFERROR(__xludf.DUMMYFUNCTION("""COMPUTED_VALUE"""),"06670043")</f>
        <v>06670043</v>
      </c>
      <c r="F205" s="48" t="str">
        <f ca="1">IFERROR(__xludf.DUMMYFUNCTION("""COMPUTED_VALUE"""),"BRUMATH UNITAS Tennis de Table")</f>
        <v>BRUMATH UNITAS Tennis de Table</v>
      </c>
      <c r="G205" s="50" t="str">
        <f ca="1">IFERROR(__xludf.DUMMYFUNCTION("""COMPUTED_VALUE"""),"CD67")</f>
        <v>CD67</v>
      </c>
      <c r="H205" s="50" t="str">
        <f ca="1">IFERROR(__xludf.DUMMYFUNCTION("""COMPUTED_VALUE"""),"inactivité 1ère année")</f>
        <v>inactivité 1ère année</v>
      </c>
    </row>
    <row r="206" spans="1:8" ht="12.75">
      <c r="A206" s="46">
        <f ca="1">IFERROR(__xludf.DUMMYFUNCTION("""COMPUTED_VALUE"""),194)</f>
        <v>194</v>
      </c>
      <c r="B206" s="65" t="str">
        <f ca="1">IFERROR(__xludf.DUMMYFUNCTION("""COMPUTED_VALUE"""),"685991")</f>
        <v>685991</v>
      </c>
      <c r="C206" s="48" t="str">
        <f ca="1">IFERROR(__xludf.DUMMYFUNCTION("""COMPUTED_VALUE"""),"KREYER")</f>
        <v>KREYER</v>
      </c>
      <c r="D206" s="48" t="str">
        <f ca="1">IFERROR(__xludf.DUMMYFUNCTION("""COMPUTED_VALUE"""),"Yvan")</f>
        <v>Yvan</v>
      </c>
      <c r="E206" s="49" t="str">
        <f ca="1">IFERROR(__xludf.DUMMYFUNCTION("""COMPUTED_VALUE"""),"06680128")</f>
        <v>06680128</v>
      </c>
      <c r="F206" s="48" t="str">
        <f ca="1">IFERROR(__xludf.DUMMYFUNCTION("""COMPUTED_VALUE"""),"BERGHEIM CSS")</f>
        <v>BERGHEIM CSS</v>
      </c>
      <c r="G206" s="50" t="str">
        <f ca="1">IFERROR(__xludf.DUMMYFUNCTION("""COMPUTED_VALUE"""),"CD68")</f>
        <v>CD68</v>
      </c>
      <c r="H206" s="50" t="str">
        <f ca="1">IFERROR(__xludf.DUMMYFUNCTION("""COMPUTED_VALUE"""),"actif")</f>
        <v>actif</v>
      </c>
    </row>
    <row r="207" spans="1:8" ht="12.75">
      <c r="A207" s="46">
        <f ca="1">IFERROR(__xludf.DUMMYFUNCTION("""COMPUTED_VALUE"""),195)</f>
        <v>195</v>
      </c>
      <c r="B207" s="65" t="str">
        <f ca="1">IFERROR(__xludf.DUMMYFUNCTION("""COMPUTED_VALUE"""),"547546")</f>
        <v>547546</v>
      </c>
      <c r="C207" s="48" t="str">
        <f ca="1">IFERROR(__xludf.DUMMYFUNCTION("""COMPUTED_VALUE"""),"LACHAMBRE")</f>
        <v>LACHAMBRE</v>
      </c>
      <c r="D207" s="48" t="str">
        <f ca="1">IFERROR(__xludf.DUMMYFUNCTION("""COMPUTED_VALUE"""),"Cedric")</f>
        <v>Cedric</v>
      </c>
      <c r="E207" s="49" t="str">
        <f ca="1">IFERROR(__xludf.DUMMYFUNCTION("""COMPUTED_VALUE"""),"06540088")</f>
        <v>06540088</v>
      </c>
      <c r="F207" s="48" t="str">
        <f ca="1">IFERROR(__xludf.DUMMYFUNCTION("""COMPUTED_VALUE"""),"CHANTEHEUX TT")</f>
        <v>CHANTEHEUX TT</v>
      </c>
      <c r="G207" s="50" t="str">
        <f ca="1">IFERROR(__xludf.DUMMYFUNCTION("""COMPUTED_VALUE"""),"CD54")</f>
        <v>CD54</v>
      </c>
      <c r="H207" s="50" t="str">
        <f ca="1">IFERROR(__xludf.DUMMYFUNCTION("""COMPUTED_VALUE"""),"inactivité 1ère année")</f>
        <v>inactivité 1ère année</v>
      </c>
    </row>
    <row r="208" spans="1:8" ht="12.75">
      <c r="A208" s="46">
        <f ca="1">IFERROR(__xludf.DUMMYFUNCTION("""COMPUTED_VALUE"""),196)</f>
        <v>196</v>
      </c>
      <c r="B208" s="65" t="str">
        <f ca="1">IFERROR(__xludf.DUMMYFUNCTION("""COMPUTED_VALUE"""),"5413055")</f>
        <v>5413055</v>
      </c>
      <c r="C208" s="48" t="str">
        <f ca="1">IFERROR(__xludf.DUMMYFUNCTION("""COMPUTED_VALUE"""),"LACOLOMBE")</f>
        <v>LACOLOMBE</v>
      </c>
      <c r="D208" s="48" t="str">
        <f ca="1">IFERROR(__xludf.DUMMYFUNCTION("""COMPUTED_VALUE"""),"Mathieu")</f>
        <v>Mathieu</v>
      </c>
      <c r="E208" s="49" t="str">
        <f ca="1">IFERROR(__xludf.DUMMYFUNCTION("""COMPUTED_VALUE"""),"06540032")</f>
        <v>06540032</v>
      </c>
      <c r="F208" s="48" t="str">
        <f ca="1">IFERROR(__xludf.DUMMYFUNCTION("""COMPUTED_VALUE"""),"NEUVES MAISONS TT")</f>
        <v>NEUVES MAISONS TT</v>
      </c>
      <c r="G208" s="50" t="str">
        <f ca="1">IFERROR(__xludf.DUMMYFUNCTION("""COMPUTED_VALUE"""),"CD54")</f>
        <v>CD54</v>
      </c>
      <c r="H208" s="50" t="str">
        <f ca="1">IFERROR(__xludf.DUMMYFUNCTION("""COMPUTED_VALUE"""),"actif")</f>
        <v>actif</v>
      </c>
    </row>
    <row r="209" spans="1:8" ht="12.75">
      <c r="A209" s="46">
        <f ca="1">IFERROR(__xludf.DUMMYFUNCTION("""COMPUTED_VALUE"""),197)</f>
        <v>197</v>
      </c>
      <c r="B209" s="65" t="str">
        <f ca="1">IFERROR(__xludf.DUMMYFUNCTION("""COMPUTED_VALUE"""),"572316")</f>
        <v>572316</v>
      </c>
      <c r="C209" s="48" t="str">
        <f ca="1">IFERROR(__xludf.DUMMYFUNCTION("""COMPUTED_VALUE"""),"LACROIX")</f>
        <v>LACROIX</v>
      </c>
      <c r="D209" s="48" t="str">
        <f ca="1">IFERROR(__xludf.DUMMYFUNCTION("""COMPUTED_VALUE"""),"Fabrice")</f>
        <v>Fabrice</v>
      </c>
      <c r="E209" s="49" t="str">
        <f ca="1">IFERROR(__xludf.DUMMYFUNCTION("""COMPUTED_VALUE"""),"06570073")</f>
        <v>06570073</v>
      </c>
      <c r="F209" s="48" t="str">
        <f ca="1">IFERROR(__xludf.DUMMYFUNCTION("""COMPUTED_VALUE"""),"TERVILLE Tennis de Table")</f>
        <v>TERVILLE Tennis de Table</v>
      </c>
      <c r="G209" s="50" t="str">
        <f ca="1">IFERROR(__xludf.DUMMYFUNCTION("""COMPUTED_VALUE"""),"CD57")</f>
        <v>CD57</v>
      </c>
      <c r="H209" s="50" t="str">
        <f ca="1">IFERROR(__xludf.DUMMYFUNCTION("""COMPUTED_VALUE"""),"inactivité 2ème année")</f>
        <v>inactivité 2ème année</v>
      </c>
    </row>
    <row r="210" spans="1:8" ht="12.75">
      <c r="A210" s="46">
        <f ca="1">IFERROR(__xludf.DUMMYFUNCTION("""COMPUTED_VALUE"""),198)</f>
        <v>198</v>
      </c>
      <c r="B210" s="65" t="str">
        <f ca="1">IFERROR(__xludf.DUMMYFUNCTION("""COMPUTED_VALUE"""),"106011")</f>
        <v>106011</v>
      </c>
      <c r="C210" s="48" t="str">
        <f ca="1">IFERROR(__xludf.DUMMYFUNCTION("""COMPUTED_VALUE"""),"LAMBERT")</f>
        <v>LAMBERT</v>
      </c>
      <c r="D210" s="48" t="str">
        <f ca="1">IFERROR(__xludf.DUMMYFUNCTION("""COMPUTED_VALUE"""),"Paul")</f>
        <v>Paul</v>
      </c>
      <c r="E210" s="49" t="str">
        <f ca="1">IFERROR(__xludf.DUMMYFUNCTION("""COMPUTED_VALUE"""),"06100015")</f>
        <v>06100015</v>
      </c>
      <c r="F210" s="48" t="str">
        <f ca="1">IFERROR(__xludf.DUMMYFUNCTION("""COMPUTED_VALUE"""),"TROYES JEUNE GARDE")</f>
        <v>TROYES JEUNE GARDE</v>
      </c>
      <c r="G210" s="50" t="str">
        <f ca="1">IFERROR(__xludf.DUMMYFUNCTION("""COMPUTED_VALUE"""),"CD10")</f>
        <v>CD10</v>
      </c>
      <c r="H210" s="50" t="str">
        <f ca="1">IFERROR(__xludf.DUMMYFUNCTION("""COMPUTED_VALUE"""),"inactivité 1ère année")</f>
        <v>inactivité 1ère année</v>
      </c>
    </row>
    <row r="211" spans="1:8" ht="12.75">
      <c r="A211" s="46">
        <f ca="1">IFERROR(__xludf.DUMMYFUNCTION("""COMPUTED_VALUE"""),199)</f>
        <v>199</v>
      </c>
      <c r="B211" s="65" t="str">
        <f ca="1">IFERROR(__xludf.DUMMYFUNCTION("""COMPUTED_VALUE"""),"103918")</f>
        <v>103918</v>
      </c>
      <c r="C211" s="48" t="str">
        <f ca="1">IFERROR(__xludf.DUMMYFUNCTION("""COMPUTED_VALUE"""),"LAMY")</f>
        <v>LAMY</v>
      </c>
      <c r="D211" s="48" t="str">
        <f ca="1">IFERROR(__xludf.DUMMYFUNCTION("""COMPUTED_VALUE"""),"Florent")</f>
        <v>Florent</v>
      </c>
      <c r="E211" s="49" t="str">
        <f ca="1">IFERROR(__xludf.DUMMYFUNCTION("""COMPUTED_VALUE"""),"06100004")</f>
        <v>06100004</v>
      </c>
      <c r="F211" s="48" t="str">
        <f ca="1">IFERROR(__xludf.DUMMYFUNCTION("""COMPUTED_VALUE"""),"MOUSSEY CS")</f>
        <v>MOUSSEY CS</v>
      </c>
      <c r="G211" s="50" t="str">
        <f ca="1">IFERROR(__xludf.DUMMYFUNCTION("""COMPUTED_VALUE"""),"CD10")</f>
        <v>CD10</v>
      </c>
      <c r="H211" s="50" t="str">
        <f ca="1">IFERROR(__xludf.DUMMYFUNCTION("""COMPUTED_VALUE"""),"inactivité 3ème année")</f>
        <v>inactivité 3ème année</v>
      </c>
    </row>
    <row r="212" spans="1:8" ht="12.75">
      <c r="A212" s="46">
        <f ca="1">IFERROR(__xludf.DUMMYFUNCTION("""COMPUTED_VALUE"""),200)</f>
        <v>200</v>
      </c>
      <c r="B212" s="65" t="str">
        <f ca="1">IFERROR(__xludf.DUMMYFUNCTION("""COMPUTED_VALUE"""),"6811452")</f>
        <v>6811452</v>
      </c>
      <c r="C212" s="48" t="str">
        <f ca="1">IFERROR(__xludf.DUMMYFUNCTION("""COMPUTED_VALUE"""),"LANG")</f>
        <v>LANG</v>
      </c>
      <c r="D212" s="48" t="str">
        <f ca="1">IFERROR(__xludf.DUMMYFUNCTION("""COMPUTED_VALUE"""),"Maxime")</f>
        <v>Maxime</v>
      </c>
      <c r="E212" s="49" t="str">
        <f ca="1">IFERROR(__xludf.DUMMYFUNCTION("""COMPUTED_VALUE"""),"06680125")</f>
        <v>06680125</v>
      </c>
      <c r="F212" s="48" t="str">
        <f ca="1">IFERROR(__xludf.DUMMYFUNCTION("""COMPUTED_VALUE"""),"ROSENAU TT")</f>
        <v>ROSENAU TT</v>
      </c>
      <c r="G212" s="50" t="str">
        <f ca="1">IFERROR(__xludf.DUMMYFUNCTION("""COMPUTED_VALUE"""),"CD68")</f>
        <v>CD68</v>
      </c>
      <c r="H212" s="50" t="str">
        <f ca="1">IFERROR(__xludf.DUMMYFUNCTION("""COMPUTED_VALUE"""),"inactivité 2ème année")</f>
        <v>inactivité 2ème année</v>
      </c>
    </row>
    <row r="213" spans="1:8" ht="12.75">
      <c r="A213" s="46">
        <f ca="1">IFERROR(__xludf.DUMMYFUNCTION("""COMPUTED_VALUE"""),201)</f>
        <v>201</v>
      </c>
      <c r="B213" s="65" t="str">
        <f ca="1">IFERROR(__xludf.DUMMYFUNCTION("""COMPUTED_VALUE"""),"542499")</f>
        <v>542499</v>
      </c>
      <c r="C213" s="48" t="str">
        <f ca="1">IFERROR(__xludf.DUMMYFUNCTION("""COMPUTED_VALUE"""),"LAURRIN")</f>
        <v>LAURRIN</v>
      </c>
      <c r="D213" s="48" t="str">
        <f ca="1">IFERROR(__xludf.DUMMYFUNCTION("""COMPUTED_VALUE"""),"David")</f>
        <v>David</v>
      </c>
      <c r="E213" s="49" t="str">
        <f ca="1">IFERROR(__xludf.DUMMYFUNCTION("""COMPUTED_VALUE"""),"06540128")</f>
        <v>06540128</v>
      </c>
      <c r="F213" s="48" t="str">
        <f ca="1">IFERROR(__xludf.DUMMYFUNCTION("""COMPUTED_VALUE"""),"PONT A MOUSSON A.S.T.T.")</f>
        <v>PONT A MOUSSON A.S.T.T.</v>
      </c>
      <c r="G213" s="50" t="str">
        <f ca="1">IFERROR(__xludf.DUMMYFUNCTION("""COMPUTED_VALUE"""),"CD54")</f>
        <v>CD54</v>
      </c>
      <c r="H213" s="50" t="str">
        <f ca="1">IFERROR(__xludf.DUMMYFUNCTION("""COMPUTED_VALUE"""),"inactivité 3ème année")</f>
        <v>inactivité 3ème année</v>
      </c>
    </row>
    <row r="214" spans="1:8" ht="12.75">
      <c r="A214" s="46">
        <f ca="1">IFERROR(__xludf.DUMMYFUNCTION("""COMPUTED_VALUE"""),202)</f>
        <v>202</v>
      </c>
      <c r="B214" s="65" t="str">
        <f ca="1">IFERROR(__xludf.DUMMYFUNCTION("""COMPUTED_VALUE"""),"6718956")</f>
        <v>6718956</v>
      </c>
      <c r="C214" s="48" t="str">
        <f ca="1">IFERROR(__xludf.DUMMYFUNCTION("""COMPUTED_VALUE"""),"LAVENN")</f>
        <v>LAVENN</v>
      </c>
      <c r="D214" s="48" t="str">
        <f ca="1">IFERROR(__xludf.DUMMYFUNCTION("""COMPUTED_VALUE"""),"Emmanuel")</f>
        <v>Emmanuel</v>
      </c>
      <c r="E214" s="49" t="str">
        <f ca="1">IFERROR(__xludf.DUMMYFUNCTION("""COMPUTED_VALUE"""),"06670041")</f>
        <v>06670041</v>
      </c>
      <c r="F214" s="48" t="str">
        <f ca="1">IFERROR(__xludf.DUMMYFUNCTION("""COMPUTED_VALUE"""),"ZORN TT HOCHFELDEN")</f>
        <v>ZORN TT HOCHFELDEN</v>
      </c>
      <c r="G214" s="50" t="str">
        <f ca="1">IFERROR(__xludf.DUMMYFUNCTION("""COMPUTED_VALUE"""),"CD67")</f>
        <v>CD67</v>
      </c>
      <c r="H214" s="50" t="str">
        <f ca="1">IFERROR(__xludf.DUMMYFUNCTION("""COMPUTED_VALUE"""),"inactivité 3ème année")</f>
        <v>inactivité 3ème année</v>
      </c>
    </row>
    <row r="215" spans="1:8" ht="12.75">
      <c r="A215" s="46">
        <f ca="1">IFERROR(__xludf.DUMMYFUNCTION("""COMPUTED_VALUE"""),203)</f>
        <v>203</v>
      </c>
      <c r="B215" s="65" t="str">
        <f ca="1">IFERROR(__xludf.DUMMYFUNCTION("""COMPUTED_VALUE"""),"089664")</f>
        <v>089664</v>
      </c>
      <c r="C215" s="48" t="str">
        <f ca="1">IFERROR(__xludf.DUMMYFUNCTION("""COMPUTED_VALUE"""),"LE BIHAN")</f>
        <v>LE BIHAN</v>
      </c>
      <c r="D215" s="48" t="str">
        <f ca="1">IFERROR(__xludf.DUMMYFUNCTION("""COMPUTED_VALUE"""),"Erwan")</f>
        <v>Erwan</v>
      </c>
      <c r="E215" s="49" t="str">
        <f ca="1">IFERROR(__xludf.DUMMYFUNCTION("""COMPUTED_VALUE"""),"06080013")</f>
        <v>06080013</v>
      </c>
      <c r="F215" s="48" t="str">
        <f ca="1">IFERROR(__xludf.DUMMYFUNCTION("""COMPUTED_VALUE"""),"TAGNON PPC")</f>
        <v>TAGNON PPC</v>
      </c>
      <c r="G215" s="50" t="str">
        <f ca="1">IFERROR(__xludf.DUMMYFUNCTION("""COMPUTED_VALUE"""),"CD08")</f>
        <v>CD08</v>
      </c>
      <c r="H215" s="50" t="str">
        <f ca="1">IFERROR(__xludf.DUMMYFUNCTION("""COMPUTED_VALUE"""),"inactivité 3ème année")</f>
        <v>inactivité 3ème année</v>
      </c>
    </row>
    <row r="216" spans="1:8" ht="12.75">
      <c r="A216" s="46">
        <f ca="1">IFERROR(__xludf.DUMMYFUNCTION("""COMPUTED_VALUE"""),204)</f>
        <v>204</v>
      </c>
      <c r="B216" s="65" t="str">
        <f ca="1">IFERROR(__xludf.DUMMYFUNCTION("""COMPUTED_VALUE"""),"083496")</f>
        <v>083496</v>
      </c>
      <c r="C216" s="48" t="str">
        <f ca="1">IFERROR(__xludf.DUMMYFUNCTION("""COMPUTED_VALUE"""),"LECLERC")</f>
        <v>LECLERC</v>
      </c>
      <c r="D216" s="48" t="str">
        <f ca="1">IFERROR(__xludf.DUMMYFUNCTION("""COMPUTED_VALUE"""),"Thierry")</f>
        <v>Thierry</v>
      </c>
      <c r="E216" s="49" t="str">
        <f ca="1">IFERROR(__xludf.DUMMYFUNCTION("""COMPUTED_VALUE"""),"06080013")</f>
        <v>06080013</v>
      </c>
      <c r="F216" s="48" t="str">
        <f ca="1">IFERROR(__xludf.DUMMYFUNCTION("""COMPUTED_VALUE"""),"TAGNON PPC")</f>
        <v>TAGNON PPC</v>
      </c>
      <c r="G216" s="50" t="str">
        <f ca="1">IFERROR(__xludf.DUMMYFUNCTION("""COMPUTED_VALUE"""),"CD08")</f>
        <v>CD08</v>
      </c>
      <c r="H216" s="50" t="str">
        <f ca="1">IFERROR(__xludf.DUMMYFUNCTION("""COMPUTED_VALUE"""),"inactivité 3ème année")</f>
        <v>inactivité 3ème année</v>
      </c>
    </row>
    <row r="217" spans="1:8" ht="12.75">
      <c r="A217" s="46">
        <f ca="1">IFERROR(__xludf.DUMMYFUNCTION("""COMPUTED_VALUE"""),205)</f>
        <v>205</v>
      </c>
      <c r="B217" s="65" t="str">
        <f ca="1">IFERROR(__xludf.DUMMYFUNCTION("""COMPUTED_VALUE"""),"881965")</f>
        <v>881965</v>
      </c>
      <c r="C217" s="48" t="str">
        <f ca="1">IFERROR(__xludf.DUMMYFUNCTION("""COMPUTED_VALUE"""),"LECOURT")</f>
        <v>LECOURT</v>
      </c>
      <c r="D217" s="48" t="str">
        <f ca="1">IFERROR(__xludf.DUMMYFUNCTION("""COMPUTED_VALUE"""),"Nicolas")</f>
        <v>Nicolas</v>
      </c>
      <c r="E217" s="49" t="str">
        <f ca="1">IFERROR(__xludf.DUMMYFUNCTION("""COMPUTED_VALUE"""),"06880064")</f>
        <v>06880064</v>
      </c>
      <c r="F217" s="48" t="str">
        <f ca="1">IFERROR(__xludf.DUMMYFUNCTION("""COMPUTED_VALUE"""),"TT des Ballons des Hautes Vosges")</f>
        <v>TT des Ballons des Hautes Vosges</v>
      </c>
      <c r="G217" s="50" t="str">
        <f ca="1">IFERROR(__xludf.DUMMYFUNCTION("""COMPUTED_VALUE"""),"CD88")</f>
        <v>CD88</v>
      </c>
      <c r="H217" s="50" t="str">
        <f ca="1">IFERROR(__xludf.DUMMYFUNCTION("""COMPUTED_VALUE"""),"inactivité 3ème année")</f>
        <v>inactivité 3ème année</v>
      </c>
    </row>
    <row r="218" spans="1:8" ht="12.75">
      <c r="A218" s="46">
        <f ca="1">IFERROR(__xludf.DUMMYFUNCTION("""COMPUTED_VALUE"""),206)</f>
        <v>206</v>
      </c>
      <c r="B218" s="65" t="str">
        <f ca="1">IFERROR(__xludf.DUMMYFUNCTION("""COMPUTED_VALUE"""),"519366")</f>
        <v>519366</v>
      </c>
      <c r="C218" s="48" t="str">
        <f ca="1">IFERROR(__xludf.DUMMYFUNCTION("""COMPUTED_VALUE"""),"LECUYER")</f>
        <v>LECUYER</v>
      </c>
      <c r="D218" s="48" t="str">
        <f ca="1">IFERROR(__xludf.DUMMYFUNCTION("""COMPUTED_VALUE"""),"Cyprien")</f>
        <v>Cyprien</v>
      </c>
      <c r="E218" s="49" t="str">
        <f ca="1">IFERROR(__xludf.DUMMYFUNCTION("""COMPUTED_VALUE"""),"06510053")</f>
        <v>06510053</v>
      </c>
      <c r="F218" s="48" t="str">
        <f ca="1">IFERROR(__xludf.DUMMYFUNCTION("""COMPUTED_VALUE"""),"SEZANNE TENNIS DE TABLE")</f>
        <v>SEZANNE TENNIS DE TABLE</v>
      </c>
      <c r="G218" s="50" t="str">
        <f ca="1">IFERROR(__xludf.DUMMYFUNCTION("""COMPUTED_VALUE"""),"CD51")</f>
        <v>CD51</v>
      </c>
      <c r="H218" s="50" t="str">
        <f ca="1">IFERROR(__xludf.DUMMYFUNCTION("""COMPUTED_VALUE"""),"inactivité 1ère année")</f>
        <v>inactivité 1ère année</v>
      </c>
    </row>
    <row r="219" spans="1:8" ht="12.75">
      <c r="A219" s="46">
        <f ca="1">IFERROR(__xludf.DUMMYFUNCTION("""COMPUTED_VALUE"""),207)</f>
        <v>207</v>
      </c>
      <c r="B219" s="65" t="str">
        <f ca="1">IFERROR(__xludf.DUMMYFUNCTION("""COMPUTED_VALUE"""),"688163")</f>
        <v>688163</v>
      </c>
      <c r="C219" s="48" t="str">
        <f ca="1">IFERROR(__xludf.DUMMYFUNCTION("""COMPUTED_VALUE"""),"LEGRAND")</f>
        <v>LEGRAND</v>
      </c>
      <c r="D219" s="48" t="str">
        <f ca="1">IFERROR(__xludf.DUMMYFUNCTION("""COMPUTED_VALUE"""),"Edouard")</f>
        <v>Edouard</v>
      </c>
      <c r="E219" s="49" t="str">
        <f ca="1">IFERROR(__xludf.DUMMYFUNCTION("""COMPUTED_VALUE"""),"06680111")</f>
        <v>06680111</v>
      </c>
      <c r="F219" s="48" t="str">
        <f ca="1">IFERROR(__xludf.DUMMYFUNCTION("""COMPUTED_VALUE"""),"THANN TENNIS DE TABLE CLUB")</f>
        <v>THANN TENNIS DE TABLE CLUB</v>
      </c>
      <c r="G219" s="50" t="str">
        <f ca="1">IFERROR(__xludf.DUMMYFUNCTION("""COMPUTED_VALUE"""),"CD68")</f>
        <v>CD68</v>
      </c>
      <c r="H219" s="50" t="str">
        <f ca="1">IFERROR(__xludf.DUMMYFUNCTION("""COMPUTED_VALUE"""),"inactivité 1ère année")</f>
        <v>inactivité 1ère année</v>
      </c>
    </row>
    <row r="220" spans="1:8" ht="12.75">
      <c r="A220" s="46">
        <f ca="1">IFERROR(__xludf.DUMMYFUNCTION("""COMPUTED_VALUE"""),208)</f>
        <v>208</v>
      </c>
      <c r="B220" s="65" t="str">
        <f ca="1">IFERROR(__xludf.DUMMYFUNCTION("""COMPUTED_VALUE"""),"5113419")</f>
        <v>5113419</v>
      </c>
      <c r="C220" s="48" t="str">
        <f ca="1">IFERROR(__xludf.DUMMYFUNCTION("""COMPUTED_VALUE"""),"LEGRAND")</f>
        <v>LEGRAND</v>
      </c>
      <c r="D220" s="48" t="str">
        <f ca="1">IFERROR(__xludf.DUMMYFUNCTION("""COMPUTED_VALUE"""),"Eliot")</f>
        <v>Eliot</v>
      </c>
      <c r="E220" s="49" t="str">
        <f ca="1">IFERROR(__xludf.DUMMYFUNCTION("""COMPUTED_VALUE"""),"06510020")</f>
        <v>06510020</v>
      </c>
      <c r="F220" s="48" t="str">
        <f ca="1">IFERROR(__xludf.DUMMYFUNCTION("""COMPUTED_VALUE"""),"EPERNAY-PLIVOT PPC")</f>
        <v>EPERNAY-PLIVOT PPC</v>
      </c>
      <c r="G220" s="50" t="str">
        <f ca="1">IFERROR(__xludf.DUMMYFUNCTION("""COMPUTED_VALUE"""),"CD51")</f>
        <v>CD51</v>
      </c>
      <c r="H220" s="50" t="str">
        <f ca="1">IFERROR(__xludf.DUMMYFUNCTION("""COMPUTED_VALUE"""),"inactivité 1ère année")</f>
        <v>inactivité 1ère année</v>
      </c>
    </row>
    <row r="221" spans="1:8" ht="12.75">
      <c r="A221" s="46">
        <f ca="1">IFERROR(__xludf.DUMMYFUNCTION("""COMPUTED_VALUE"""),209)</f>
        <v>209</v>
      </c>
      <c r="B221" s="65" t="str">
        <f ca="1">IFERROR(__xludf.DUMMYFUNCTION("""COMPUTED_VALUE"""),"5113762")</f>
        <v>5113762</v>
      </c>
      <c r="C221" s="48" t="str">
        <f ca="1">IFERROR(__xludf.DUMMYFUNCTION("""COMPUTED_VALUE"""),"LEGRAND")</f>
        <v>LEGRAND</v>
      </c>
      <c r="D221" s="48" t="str">
        <f ca="1">IFERROR(__xludf.DUMMYFUNCTION("""COMPUTED_VALUE"""),"Eric")</f>
        <v>Eric</v>
      </c>
      <c r="E221" s="49" t="str">
        <f ca="1">IFERROR(__xludf.DUMMYFUNCTION("""COMPUTED_VALUE"""),"06510020")</f>
        <v>06510020</v>
      </c>
      <c r="F221" s="48" t="str">
        <f ca="1">IFERROR(__xludf.DUMMYFUNCTION("""COMPUTED_VALUE"""),"EPERNAY-PLIVOT PPC")</f>
        <v>EPERNAY-PLIVOT PPC</v>
      </c>
      <c r="G221" s="50" t="str">
        <f ca="1">IFERROR(__xludf.DUMMYFUNCTION("""COMPUTED_VALUE"""),"CD51")</f>
        <v>CD51</v>
      </c>
      <c r="H221" s="50" t="str">
        <f ca="1">IFERROR(__xludf.DUMMYFUNCTION("""COMPUTED_VALUE"""),"inactivité 1ère année")</f>
        <v>inactivité 1ère année</v>
      </c>
    </row>
    <row r="222" spans="1:8" ht="12.75">
      <c r="A222" s="46">
        <f ca="1">IFERROR(__xludf.DUMMYFUNCTION("""COMPUTED_VALUE"""),210)</f>
        <v>210</v>
      </c>
      <c r="B222" s="65" t="str">
        <f ca="1">IFERROR(__xludf.DUMMYFUNCTION("""COMPUTED_VALUE"""),"6733062")</f>
        <v>6733062</v>
      </c>
      <c r="C222" s="48" t="str">
        <f ca="1">IFERROR(__xludf.DUMMYFUNCTION("""COMPUTED_VALUE"""),"LEGUIL")</f>
        <v>LEGUIL</v>
      </c>
      <c r="D222" s="48" t="str">
        <f ca="1">IFERROR(__xludf.DUMMYFUNCTION("""COMPUTED_VALUE"""),"Aurélie")</f>
        <v>Aurélie</v>
      </c>
      <c r="E222" s="49" t="str">
        <f ca="1">IFERROR(__xludf.DUMMYFUNCTION("""COMPUTED_VALUE"""),"06670122")</f>
        <v>06670122</v>
      </c>
      <c r="F222" s="48" t="str">
        <f ca="1">IFERROR(__xludf.DUMMYFUNCTION("""COMPUTED_VALUE"""),"OBERNAI CA")</f>
        <v>OBERNAI CA</v>
      </c>
      <c r="G222" s="50" t="str">
        <f ca="1">IFERROR(__xludf.DUMMYFUNCTION("""COMPUTED_VALUE"""),"CD67")</f>
        <v>CD67</v>
      </c>
      <c r="H222" s="50" t="str">
        <f ca="1">IFERROR(__xludf.DUMMYFUNCTION("""COMPUTED_VALUE"""),"actif")</f>
        <v>actif</v>
      </c>
    </row>
    <row r="223" spans="1:8" ht="12.75">
      <c r="A223" s="46">
        <f ca="1">IFERROR(__xludf.DUMMYFUNCTION("""COMPUTED_VALUE"""),211)</f>
        <v>211</v>
      </c>
      <c r="B223" s="65" t="str">
        <f ca="1">IFERROR(__xludf.DUMMYFUNCTION("""COMPUTED_VALUE"""),"6715254")</f>
        <v>6715254</v>
      </c>
      <c r="C223" s="48" t="str">
        <f ca="1">IFERROR(__xludf.DUMMYFUNCTION("""COMPUTED_VALUE"""),"LEHMANN")</f>
        <v>LEHMANN</v>
      </c>
      <c r="D223" s="48" t="str">
        <f ca="1">IFERROR(__xludf.DUMMYFUNCTION("""COMPUTED_VALUE"""),"Quentin")</f>
        <v>Quentin</v>
      </c>
      <c r="E223" s="49" t="str">
        <f ca="1">IFERROR(__xludf.DUMMYFUNCTION("""COMPUTED_VALUE"""),"06670221")</f>
        <v>06670221</v>
      </c>
      <c r="F223" s="48" t="str">
        <f ca="1">IFERROR(__xludf.DUMMYFUNCTION("""COMPUTED_VALUE"""),"BARR Tennis de Table")</f>
        <v>BARR Tennis de Table</v>
      </c>
      <c r="G223" s="50" t="str">
        <f ca="1">IFERROR(__xludf.DUMMYFUNCTION("""COMPUTED_VALUE"""),"CD67")</f>
        <v>CD67</v>
      </c>
      <c r="H223" s="50" t="str">
        <f ca="1">IFERROR(__xludf.DUMMYFUNCTION("""COMPUTED_VALUE"""),"inactivité 3ème année")</f>
        <v>inactivité 3ème année</v>
      </c>
    </row>
    <row r="224" spans="1:8" ht="12.75">
      <c r="A224" s="46">
        <f ca="1">IFERROR(__xludf.DUMMYFUNCTION("""COMPUTED_VALUE"""),212)</f>
        <v>212</v>
      </c>
      <c r="B224" s="65" t="str">
        <f ca="1">IFERROR(__xludf.DUMMYFUNCTION("""COMPUTED_VALUE"""),"5730180")</f>
        <v>5730180</v>
      </c>
      <c r="C224" s="48" t="str">
        <f ca="1">IFERROR(__xludf.DUMMYFUNCTION("""COMPUTED_VALUE"""),"LELEU")</f>
        <v>LELEU</v>
      </c>
      <c r="D224" s="48" t="str">
        <f ca="1">IFERROR(__xludf.DUMMYFUNCTION("""COMPUTED_VALUE"""),"Marie")</f>
        <v>Marie</v>
      </c>
      <c r="E224" s="49" t="str">
        <f ca="1">IFERROR(__xludf.DUMMYFUNCTION("""COMPUTED_VALUE"""),"06570070")</f>
        <v>06570070</v>
      </c>
      <c r="F224" s="48" t="str">
        <f ca="1">IFERROR(__xludf.DUMMYFUNCTION("""COMPUTED_VALUE"""),"AMNEVILLE Tennis de Table")</f>
        <v>AMNEVILLE Tennis de Table</v>
      </c>
      <c r="G224" s="50" t="str">
        <f ca="1">IFERROR(__xludf.DUMMYFUNCTION("""COMPUTED_VALUE"""),"CD57")</f>
        <v>CD57</v>
      </c>
      <c r="H224" s="50" t="str">
        <f ca="1">IFERROR(__xludf.DUMMYFUNCTION("""COMPUTED_VALUE"""),"actif")</f>
        <v>actif</v>
      </c>
    </row>
    <row r="225" spans="1:8" ht="12.75">
      <c r="A225" s="46">
        <f ca="1">IFERROR(__xludf.DUMMYFUNCTION("""COMPUTED_VALUE"""),213)</f>
        <v>213</v>
      </c>
      <c r="B225" s="65" t="str">
        <f ca="1">IFERROR(__xludf.DUMMYFUNCTION("""COMPUTED_VALUE"""),"8815345")</f>
        <v>8815345</v>
      </c>
      <c r="C225" s="48" t="str">
        <f ca="1">IFERROR(__xludf.DUMMYFUNCTION("""COMPUTED_VALUE"""),"LEMOINE")</f>
        <v>LEMOINE</v>
      </c>
      <c r="D225" s="48" t="str">
        <f ca="1">IFERROR(__xludf.DUMMYFUNCTION("""COMPUTED_VALUE"""),"Philippe")</f>
        <v>Philippe</v>
      </c>
      <c r="E225" s="49" t="str">
        <f ca="1">IFERROR(__xludf.DUMMYFUNCTION("""COMPUTED_VALUE"""),"06880049")</f>
        <v>06880049</v>
      </c>
      <c r="F225" s="48" t="str">
        <f ca="1">IFERROR(__xludf.DUMMYFUNCTION("""COMPUTED_VALUE"""),"MIRECOURT Lift Club")</f>
        <v>MIRECOURT Lift Club</v>
      </c>
      <c r="G225" s="50" t="str">
        <f ca="1">IFERROR(__xludf.DUMMYFUNCTION("""COMPUTED_VALUE"""),"CD88")</f>
        <v>CD88</v>
      </c>
      <c r="H225" s="50" t="str">
        <f ca="1">IFERROR(__xludf.DUMMYFUNCTION("""COMPUTED_VALUE"""),"inactivité 1ère année")</f>
        <v>inactivité 1ère année</v>
      </c>
    </row>
    <row r="226" spans="1:8" ht="12.75">
      <c r="A226" s="46">
        <f ca="1">IFERROR(__xludf.DUMMYFUNCTION("""COMPUTED_VALUE"""),214)</f>
        <v>214</v>
      </c>
      <c r="B226" s="65" t="str">
        <f ca="1">IFERROR(__xludf.DUMMYFUNCTION("""COMPUTED_VALUE"""),"519334")</f>
        <v>519334</v>
      </c>
      <c r="C226" s="48" t="str">
        <f ca="1">IFERROR(__xludf.DUMMYFUNCTION("""COMPUTED_VALUE"""),"LEPIN")</f>
        <v>LEPIN</v>
      </c>
      <c r="D226" s="48" t="str">
        <f ca="1">IFERROR(__xludf.DUMMYFUNCTION("""COMPUTED_VALUE"""),"Marc")</f>
        <v>Marc</v>
      </c>
      <c r="E226" s="49" t="str">
        <f ca="1">IFERROR(__xludf.DUMMYFUNCTION("""COMPUTED_VALUE"""),"06510107")</f>
        <v>06510107</v>
      </c>
      <c r="F226" s="48" t="str">
        <f ca="1">IFERROR(__xludf.DUMMYFUNCTION("""COMPUTED_VALUE"""),"GUEUX TINQUEUX ASTT")</f>
        <v>GUEUX TINQUEUX ASTT</v>
      </c>
      <c r="G226" s="50" t="str">
        <f ca="1">IFERROR(__xludf.DUMMYFUNCTION("""COMPUTED_VALUE"""),"CD51")</f>
        <v>CD51</v>
      </c>
      <c r="H226" s="50" t="str">
        <f ca="1">IFERROR(__xludf.DUMMYFUNCTION("""COMPUTED_VALUE"""),"actif")</f>
        <v>actif</v>
      </c>
    </row>
    <row r="227" spans="1:8" ht="12.75">
      <c r="A227" s="46">
        <f ca="1">IFERROR(__xludf.DUMMYFUNCTION("""COMPUTED_VALUE"""),215)</f>
        <v>215</v>
      </c>
      <c r="B227" s="65" t="str">
        <f ca="1">IFERROR(__xludf.DUMMYFUNCTION("""COMPUTED_VALUE"""),"551047")</f>
        <v>551047</v>
      </c>
      <c r="C227" s="48" t="str">
        <f ca="1">IFERROR(__xludf.DUMMYFUNCTION("""COMPUTED_VALUE"""),"LEPORCQ")</f>
        <v>LEPORCQ</v>
      </c>
      <c r="D227" s="48" t="str">
        <f ca="1">IFERROR(__xludf.DUMMYFUNCTION("""COMPUTED_VALUE"""),"Frederic")</f>
        <v>Frederic</v>
      </c>
      <c r="E227" s="49" t="str">
        <f ca="1">IFERROR(__xludf.DUMMYFUNCTION("""COMPUTED_VALUE"""),"06570015")</f>
        <v>06570015</v>
      </c>
      <c r="F227" s="48" t="str">
        <f ca="1">IFERROR(__xludf.DUMMYFUNCTION("""COMPUTED_VALUE"""),"MONTIGNY LES METZ T.T.")</f>
        <v>MONTIGNY LES METZ T.T.</v>
      </c>
      <c r="G227" s="50" t="str">
        <f ca="1">IFERROR(__xludf.DUMMYFUNCTION("""COMPUTED_VALUE"""),"CD57")</f>
        <v>CD57</v>
      </c>
      <c r="H227" s="50" t="str">
        <f ca="1">IFERROR(__xludf.DUMMYFUNCTION("""COMPUTED_VALUE"""),"inactivité 2ème année")</f>
        <v>inactivité 2ème année</v>
      </c>
    </row>
    <row r="228" spans="1:8" ht="12.75">
      <c r="A228" s="46">
        <f ca="1">IFERROR(__xludf.DUMMYFUNCTION("""COMPUTED_VALUE"""),216)</f>
        <v>216</v>
      </c>
      <c r="B228" s="65" t="str">
        <f ca="1">IFERROR(__xludf.DUMMYFUNCTION("""COMPUTED_VALUE"""),"6714387")</f>
        <v>6714387</v>
      </c>
      <c r="C228" s="48" t="str">
        <f ca="1">IFERROR(__xludf.DUMMYFUNCTION("""COMPUTED_VALUE"""),"LERCH")</f>
        <v>LERCH</v>
      </c>
      <c r="D228" s="48" t="str">
        <f ca="1">IFERROR(__xludf.DUMMYFUNCTION("""COMPUTED_VALUE"""),"Christophe")</f>
        <v>Christophe</v>
      </c>
      <c r="E228" s="49" t="str">
        <f ca="1">IFERROR(__xludf.DUMMYFUNCTION("""COMPUTED_VALUE"""),"06670248")</f>
        <v>06670248</v>
      </c>
      <c r="F228" s="48" t="str">
        <f ca="1">IFERROR(__xludf.DUMMYFUNCTION("""COMPUTED_VALUE"""),"MARMOUTIER CSE")</f>
        <v>MARMOUTIER CSE</v>
      </c>
      <c r="G228" s="50" t="str">
        <f ca="1">IFERROR(__xludf.DUMMYFUNCTION("""COMPUTED_VALUE"""),"CD67")</f>
        <v>CD67</v>
      </c>
      <c r="H228" s="50" t="str">
        <f ca="1">IFERROR(__xludf.DUMMYFUNCTION("""COMPUTED_VALUE"""),"inactivité 3ème année")</f>
        <v>inactivité 3ème année</v>
      </c>
    </row>
    <row r="229" spans="1:8" ht="12.75">
      <c r="A229" s="46">
        <f ca="1">IFERROR(__xludf.DUMMYFUNCTION("""COMPUTED_VALUE"""),217)</f>
        <v>217</v>
      </c>
      <c r="B229" s="65" t="str">
        <f ca="1">IFERROR(__xludf.DUMMYFUNCTION("""COMPUTED_VALUE"""),"885431")</f>
        <v>885431</v>
      </c>
      <c r="C229" s="48" t="str">
        <f ca="1">IFERROR(__xludf.DUMMYFUNCTION("""COMPUTED_VALUE"""),"LHUILLIER")</f>
        <v>LHUILLIER</v>
      </c>
      <c r="D229" s="48" t="str">
        <f ca="1">IFERROR(__xludf.DUMMYFUNCTION("""COMPUTED_VALUE"""),"Vincent")</f>
        <v>Vincent</v>
      </c>
      <c r="E229" s="49" t="str">
        <f ca="1">IFERROR(__xludf.DUMMYFUNCTION("""COMPUTED_VALUE"""),"06540056")</f>
        <v>06540056</v>
      </c>
      <c r="F229" s="48" t="str">
        <f ca="1">IFERROR(__xludf.DUMMYFUNCTION("""COMPUTED_VALUE"""),"HEILLECOURT LOISIRS RENCON")</f>
        <v>HEILLECOURT LOISIRS RENCON</v>
      </c>
      <c r="G229" s="50" t="str">
        <f ca="1">IFERROR(__xludf.DUMMYFUNCTION("""COMPUTED_VALUE"""),"CD54")</f>
        <v>CD54</v>
      </c>
      <c r="H229" s="50" t="str">
        <f ca="1">IFERROR(__xludf.DUMMYFUNCTION("""COMPUTED_VALUE"""),"inactivité 2ème année")</f>
        <v>inactivité 2ème année</v>
      </c>
    </row>
    <row r="230" spans="1:8" ht="12.75">
      <c r="A230" s="46">
        <f ca="1">IFERROR(__xludf.DUMMYFUNCTION("""COMPUTED_VALUE"""),218)</f>
        <v>218</v>
      </c>
      <c r="B230" s="65" t="str">
        <f ca="1">IFERROR(__xludf.DUMMYFUNCTION("""COMPUTED_VALUE"""),"52138")</f>
        <v>52138</v>
      </c>
      <c r="C230" s="48" t="str">
        <f ca="1">IFERROR(__xludf.DUMMYFUNCTION("""COMPUTED_VALUE"""),"LIEGEY")</f>
        <v>LIEGEY</v>
      </c>
      <c r="D230" s="48" t="str">
        <f ca="1">IFERROR(__xludf.DUMMYFUNCTION("""COMPUTED_VALUE"""),"Michel")</f>
        <v>Michel</v>
      </c>
      <c r="E230" s="49" t="str">
        <f ca="1">IFERROR(__xludf.DUMMYFUNCTION("""COMPUTED_VALUE"""),"06520004")</f>
        <v>06520004</v>
      </c>
      <c r="F230" s="48" t="str">
        <f ca="1">IFERROR(__xludf.DUMMYFUNCTION("""COMPUTED_VALUE"""),"CHANCENAY-SLO TT")</f>
        <v>CHANCENAY-SLO TT</v>
      </c>
      <c r="G230" s="50" t="str">
        <f ca="1">IFERROR(__xludf.DUMMYFUNCTION("""COMPUTED_VALUE"""),"CD52")</f>
        <v>CD52</v>
      </c>
      <c r="H230" s="50" t="str">
        <f ca="1">IFERROR(__xludf.DUMMYFUNCTION("""COMPUTED_VALUE"""),"inactivité 1ère année")</f>
        <v>inactivité 1ère année</v>
      </c>
    </row>
    <row r="231" spans="1:8" ht="12.75">
      <c r="A231" s="46">
        <f ca="1">IFERROR(__xludf.DUMMYFUNCTION("""COMPUTED_VALUE"""),219)</f>
        <v>219</v>
      </c>
      <c r="B231" s="65" t="str">
        <f ca="1">IFERROR(__xludf.DUMMYFUNCTION("""COMPUTED_VALUE"""),"6729893")</f>
        <v>6729893</v>
      </c>
      <c r="C231" s="48" t="str">
        <f ca="1">IFERROR(__xludf.DUMMYFUNCTION("""COMPUTED_VALUE"""),"LITT")</f>
        <v>LITT</v>
      </c>
      <c r="D231" s="48" t="str">
        <f ca="1">IFERROR(__xludf.DUMMYFUNCTION("""COMPUTED_VALUE"""),"Yannick")</f>
        <v>Yannick</v>
      </c>
      <c r="E231" s="49" t="str">
        <f ca="1">IFERROR(__xludf.DUMMYFUNCTION("""COMPUTED_VALUE"""),"06670201")</f>
        <v>06670201</v>
      </c>
      <c r="F231" s="48" t="str">
        <f ca="1">IFERROR(__xludf.DUMMYFUNCTION("""COMPUTED_VALUE"""),"ESCHAU CTT")</f>
        <v>ESCHAU CTT</v>
      </c>
      <c r="G231" s="50" t="str">
        <f ca="1">IFERROR(__xludf.DUMMYFUNCTION("""COMPUTED_VALUE"""),"CD67")</f>
        <v>CD67</v>
      </c>
      <c r="H231" s="50" t="str">
        <f ca="1">IFERROR(__xludf.DUMMYFUNCTION("""COMPUTED_VALUE"""),"actif")</f>
        <v>actif</v>
      </c>
    </row>
    <row r="232" spans="1:8" ht="12.75">
      <c r="A232" s="46">
        <f ca="1">IFERROR(__xludf.DUMMYFUNCTION("""COMPUTED_VALUE"""),220)</f>
        <v>220</v>
      </c>
      <c r="B232" s="65" t="str">
        <f ca="1">IFERROR(__xludf.DUMMYFUNCTION("""COMPUTED_VALUE"""),"106207")</f>
        <v>106207</v>
      </c>
      <c r="C232" s="48" t="str">
        <f ca="1">IFERROR(__xludf.DUMMYFUNCTION("""COMPUTED_VALUE"""),"LOCHEY")</f>
        <v>LOCHEY</v>
      </c>
      <c r="D232" s="48" t="str">
        <f ca="1">IFERROR(__xludf.DUMMYFUNCTION("""COMPUTED_VALUE"""),"Florian")</f>
        <v>Florian</v>
      </c>
      <c r="E232" s="49" t="str">
        <f ca="1">IFERROR(__xludf.DUMMYFUNCTION("""COMPUTED_VALUE"""),"06100016")</f>
        <v>06100016</v>
      </c>
      <c r="F232" s="48" t="str">
        <f ca="1">IFERROR(__xludf.DUMMYFUNCTION("""COMPUTED_VALUE"""),"BAR SUR SEINE FJ")</f>
        <v>BAR SUR SEINE FJ</v>
      </c>
      <c r="G232" s="50" t="str">
        <f ca="1">IFERROR(__xludf.DUMMYFUNCTION("""COMPUTED_VALUE"""),"CD10")</f>
        <v>CD10</v>
      </c>
      <c r="H232" s="50" t="str">
        <f ca="1">IFERROR(__xludf.DUMMYFUNCTION("""COMPUTED_VALUE"""),"inactivité 2ème année")</f>
        <v>inactivité 2ème année</v>
      </c>
    </row>
    <row r="233" spans="1:8" ht="12.75">
      <c r="A233" s="46">
        <f ca="1">IFERROR(__xludf.DUMMYFUNCTION("""COMPUTED_VALUE"""),221)</f>
        <v>221</v>
      </c>
      <c r="B233" s="65" t="str">
        <f ca="1">IFERROR(__xludf.DUMMYFUNCTION("""COMPUTED_VALUE"""),"674615")</f>
        <v>674615</v>
      </c>
      <c r="C233" s="48" t="str">
        <f ca="1">IFERROR(__xludf.DUMMYFUNCTION("""COMPUTED_VALUE"""),"LOEB")</f>
        <v>LOEB</v>
      </c>
      <c r="D233" s="48" t="str">
        <f ca="1">IFERROR(__xludf.DUMMYFUNCTION("""COMPUTED_VALUE"""),"Michael")</f>
        <v>Michael</v>
      </c>
      <c r="E233" s="49" t="str">
        <f ca="1">IFERROR(__xludf.DUMMYFUNCTION("""COMPUTED_VALUE"""),"06670160")</f>
        <v>06670160</v>
      </c>
      <c r="F233" s="48" t="str">
        <f ca="1">IFERROR(__xludf.DUMMYFUNCTION("""COMPUTED_VALUE"""),"T.T.Haguenau Wissembourg")</f>
        <v>T.T.Haguenau Wissembourg</v>
      </c>
      <c r="G233" s="50" t="str">
        <f ca="1">IFERROR(__xludf.DUMMYFUNCTION("""COMPUTED_VALUE"""),"CD67")</f>
        <v>CD67</v>
      </c>
      <c r="H233" s="50" t="str">
        <f ca="1">IFERROR(__xludf.DUMMYFUNCTION("""COMPUTED_VALUE"""),"actif")</f>
        <v>actif</v>
      </c>
    </row>
    <row r="234" spans="1:8" ht="12.75">
      <c r="A234" s="46">
        <f ca="1">IFERROR(__xludf.DUMMYFUNCTION("""COMPUTED_VALUE"""),222)</f>
        <v>222</v>
      </c>
      <c r="B234" s="65" t="str">
        <f ca="1">IFERROR(__xludf.DUMMYFUNCTION("""COMPUTED_VALUE"""),"5727999")</f>
        <v>5727999</v>
      </c>
      <c r="C234" s="48" t="str">
        <f ca="1">IFERROR(__xludf.DUMMYFUNCTION("""COMPUTED_VALUE"""),"LONGATTE")</f>
        <v>LONGATTE</v>
      </c>
      <c r="D234" s="48" t="str">
        <f ca="1">IFERROR(__xludf.DUMMYFUNCTION("""COMPUTED_VALUE"""),"Aurelien")</f>
        <v>Aurelien</v>
      </c>
      <c r="E234" s="49" t="str">
        <f ca="1">IFERROR(__xludf.DUMMYFUNCTION("""COMPUTED_VALUE"""),"06570154")</f>
        <v>06570154</v>
      </c>
      <c r="F234" s="48" t="str">
        <f ca="1">IFERROR(__xludf.DUMMYFUNCTION("""COMPUTED_VALUE"""),"SAINT JEAN KOURTZERODE LJ")</f>
        <v>SAINT JEAN KOURTZERODE LJ</v>
      </c>
      <c r="G234" s="50" t="str">
        <f ca="1">IFERROR(__xludf.DUMMYFUNCTION("""COMPUTED_VALUE"""),"CD57")</f>
        <v>CD57</v>
      </c>
      <c r="H234" s="50" t="str">
        <f ca="1">IFERROR(__xludf.DUMMYFUNCTION("""COMPUTED_VALUE"""),"inactivité 3ème année")</f>
        <v>inactivité 3ème année</v>
      </c>
    </row>
    <row r="235" spans="1:8" ht="12.75">
      <c r="A235" s="46">
        <f ca="1">IFERROR(__xludf.DUMMYFUNCTION("""COMPUTED_VALUE"""),223)</f>
        <v>223</v>
      </c>
      <c r="B235" s="65" t="str">
        <f ca="1">IFERROR(__xludf.DUMMYFUNCTION("""COMPUTED_VALUE"""),"085181")</f>
        <v>085181</v>
      </c>
      <c r="C235" s="48" t="str">
        <f ca="1">IFERROR(__xludf.DUMMYFUNCTION("""COMPUTED_VALUE"""),"LONGCHAMP")</f>
        <v>LONGCHAMP</v>
      </c>
      <c r="D235" s="48" t="str">
        <f ca="1">IFERROR(__xludf.DUMMYFUNCTION("""COMPUTED_VALUE"""),"Bernard")</f>
        <v>Bernard</v>
      </c>
      <c r="E235" s="49" t="str">
        <f ca="1">IFERROR(__xludf.DUMMYFUNCTION("""COMPUTED_VALUE"""),"06080035")</f>
        <v>06080035</v>
      </c>
      <c r="F235" s="48" t="str">
        <f ca="1">IFERROR(__xludf.DUMMYFUNCTION("""COMPUTED_VALUE"""),"CHARLEVILLE MEZIERES ARDENNES TT")</f>
        <v>CHARLEVILLE MEZIERES ARDENNES TT</v>
      </c>
      <c r="G235" s="50" t="str">
        <f ca="1">IFERROR(__xludf.DUMMYFUNCTION("""COMPUTED_VALUE"""),"CD08")</f>
        <v>CD08</v>
      </c>
      <c r="H235" s="50" t="str">
        <f ca="1">IFERROR(__xludf.DUMMYFUNCTION("""COMPUTED_VALUE"""),"inactivité 3ème année")</f>
        <v>inactivité 3ème année</v>
      </c>
    </row>
    <row r="236" spans="1:8" ht="12.75">
      <c r="A236" s="46">
        <f ca="1">IFERROR(__xludf.DUMMYFUNCTION("""COMPUTED_VALUE"""),224)</f>
        <v>224</v>
      </c>
      <c r="B236" s="65" t="str">
        <f ca="1">IFERROR(__xludf.DUMMYFUNCTION("""COMPUTED_VALUE"""),"671543")</f>
        <v>671543</v>
      </c>
      <c r="C236" s="48" t="str">
        <f ca="1">IFERROR(__xludf.DUMMYFUNCTION("""COMPUTED_VALUE"""),"LUCK")</f>
        <v>LUCK</v>
      </c>
      <c r="D236" s="48" t="str">
        <f ca="1">IFERROR(__xludf.DUMMYFUNCTION("""COMPUTED_VALUE"""),"Daniel")</f>
        <v>Daniel</v>
      </c>
      <c r="E236" s="49" t="str">
        <f ca="1">IFERROR(__xludf.DUMMYFUNCTION("""COMPUTED_VALUE"""),"06670149")</f>
        <v>06670149</v>
      </c>
      <c r="F236" s="48" t="str">
        <f ca="1">IFERROR(__xludf.DUMMYFUNCTION("""COMPUTED_VALUE"""),"DORLISHEIM SD")</f>
        <v>DORLISHEIM SD</v>
      </c>
      <c r="G236" s="50" t="str">
        <f ca="1">IFERROR(__xludf.DUMMYFUNCTION("""COMPUTED_VALUE"""),"CD67")</f>
        <v>CD67</v>
      </c>
      <c r="H236" s="50" t="str">
        <f ca="1">IFERROR(__xludf.DUMMYFUNCTION("""COMPUTED_VALUE"""),"inactivité 2ème année")</f>
        <v>inactivité 2ème année</v>
      </c>
    </row>
    <row r="237" spans="1:8" ht="12.75">
      <c r="A237" s="46">
        <f ca="1">IFERROR(__xludf.DUMMYFUNCTION("""COMPUTED_VALUE"""),225)</f>
        <v>225</v>
      </c>
      <c r="B237" s="65" t="str">
        <f ca="1">IFERROR(__xludf.DUMMYFUNCTION("""COMPUTED_VALUE"""),"5723483")</f>
        <v>5723483</v>
      </c>
      <c r="C237" s="48" t="str">
        <f ca="1">IFERROR(__xludf.DUMMYFUNCTION("""COMPUTED_VALUE"""),"MADELAINE")</f>
        <v>MADELAINE</v>
      </c>
      <c r="D237" s="48" t="str">
        <f ca="1">IFERROR(__xludf.DUMMYFUNCTION("""COMPUTED_VALUE"""),"Maxime")</f>
        <v>Maxime</v>
      </c>
      <c r="E237" s="49" t="str">
        <f ca="1">IFERROR(__xludf.DUMMYFUNCTION("""COMPUTED_VALUE"""),"06540193")</f>
        <v>06540193</v>
      </c>
      <c r="F237" s="48" t="str">
        <f ca="1">IFERROR(__xludf.DUMMYFUNCTION("""COMPUTED_VALUE"""),"BACCARAT ABTT")</f>
        <v>BACCARAT ABTT</v>
      </c>
      <c r="G237" s="50" t="str">
        <f ca="1">IFERROR(__xludf.DUMMYFUNCTION("""COMPUTED_VALUE"""),"CD54")</f>
        <v>CD54</v>
      </c>
      <c r="H237" s="50" t="str">
        <f ca="1">IFERROR(__xludf.DUMMYFUNCTION("""COMPUTED_VALUE"""),"inactivité 3ème année")</f>
        <v>inactivité 3ème année</v>
      </c>
    </row>
    <row r="238" spans="1:8" ht="12.75">
      <c r="A238" s="46">
        <f ca="1">IFERROR(__xludf.DUMMYFUNCTION("""COMPUTED_VALUE"""),226)</f>
        <v>226</v>
      </c>
      <c r="B238" s="65" t="str">
        <f ca="1">IFERROR(__xludf.DUMMYFUNCTION("""COMPUTED_VALUE"""),"1061")</f>
        <v>1061</v>
      </c>
      <c r="C238" s="48" t="str">
        <f ca="1">IFERROR(__xludf.DUMMYFUNCTION("""COMPUTED_VALUE"""),"MAITROT")</f>
        <v>MAITROT</v>
      </c>
      <c r="D238" s="48" t="str">
        <f ca="1">IFERROR(__xludf.DUMMYFUNCTION("""COMPUTED_VALUE"""),"Dominique")</f>
        <v>Dominique</v>
      </c>
      <c r="E238" s="49" t="str">
        <f ca="1">IFERROR(__xludf.DUMMYFUNCTION("""COMPUTED_VALUE"""),"06100002")</f>
        <v>06100002</v>
      </c>
      <c r="F238" s="48" t="str">
        <f ca="1">IFERROR(__xludf.DUMMYFUNCTION("""COMPUTED_VALUE"""),"TROYES O.S - NOËS TT")</f>
        <v>TROYES O.S - NOËS TT</v>
      </c>
      <c r="G238" s="50" t="str">
        <f ca="1">IFERROR(__xludf.DUMMYFUNCTION("""COMPUTED_VALUE"""),"CD10")</f>
        <v>CD10</v>
      </c>
      <c r="H238" s="50" t="str">
        <f ca="1">IFERROR(__xludf.DUMMYFUNCTION("""COMPUTED_VALUE"""),"inactivité 1ère année")</f>
        <v>inactivité 1ère année</v>
      </c>
    </row>
    <row r="239" spans="1:8" ht="12.75">
      <c r="A239" s="46">
        <f ca="1">IFERROR(__xludf.DUMMYFUNCTION("""COMPUTED_VALUE"""),227)</f>
        <v>227</v>
      </c>
      <c r="B239" s="65" t="str">
        <f ca="1">IFERROR(__xludf.DUMMYFUNCTION("""COMPUTED_VALUE"""),"5712505")</f>
        <v>5712505</v>
      </c>
      <c r="C239" s="48" t="str">
        <f ca="1">IFERROR(__xludf.DUMMYFUNCTION("""COMPUTED_VALUE"""),"MALHACHE")</f>
        <v>MALHACHE</v>
      </c>
      <c r="D239" s="48" t="str">
        <f ca="1">IFERROR(__xludf.DUMMYFUNCTION("""COMPUTED_VALUE"""),"Marc")</f>
        <v>Marc</v>
      </c>
      <c r="E239" s="49" t="str">
        <f ca="1">IFERROR(__xludf.DUMMYFUNCTION("""COMPUTED_VALUE"""),"06880066")</f>
        <v>06880066</v>
      </c>
      <c r="F239" s="48" t="str">
        <f ca="1">IFERROR(__xludf.DUMMYFUNCTION("""COMPUTED_VALUE"""),"ELOYES C.L.L.T.T.")</f>
        <v>ELOYES C.L.L.T.T.</v>
      </c>
      <c r="G239" s="50" t="str">
        <f ca="1">IFERROR(__xludf.DUMMYFUNCTION("""COMPUTED_VALUE"""),"CD88")</f>
        <v>CD88</v>
      </c>
      <c r="H239" s="50" t="str">
        <f ca="1">IFERROR(__xludf.DUMMYFUNCTION("""COMPUTED_VALUE"""),"inactivité 1ère année")</f>
        <v>inactivité 1ère année</v>
      </c>
    </row>
    <row r="240" spans="1:8" ht="12.75">
      <c r="A240" s="46">
        <f ca="1">IFERROR(__xludf.DUMMYFUNCTION("""COMPUTED_VALUE"""),228)</f>
        <v>228</v>
      </c>
      <c r="B240" s="65" t="str">
        <f ca="1">IFERROR(__xludf.DUMMYFUNCTION("""COMPUTED_VALUE"""),"51499")</f>
        <v>51499</v>
      </c>
      <c r="C240" s="48" t="str">
        <f ca="1">IFERROR(__xludf.DUMMYFUNCTION("""COMPUTED_VALUE"""),"MANGEOT")</f>
        <v>MANGEOT</v>
      </c>
      <c r="D240" s="48" t="str">
        <f ca="1">IFERROR(__xludf.DUMMYFUNCTION("""COMPUTED_VALUE"""),"Frederic")</f>
        <v>Frederic</v>
      </c>
      <c r="E240" s="49" t="str">
        <f ca="1">IFERROR(__xludf.DUMMYFUNCTION("""COMPUTED_VALUE"""),"06510029")</f>
        <v>06510029</v>
      </c>
      <c r="F240" s="48" t="str">
        <f ca="1">IFERROR(__xludf.DUMMYFUNCTION("""COMPUTED_VALUE"""),"GRAUVES TT")</f>
        <v>GRAUVES TT</v>
      </c>
      <c r="G240" s="50" t="str">
        <f ca="1">IFERROR(__xludf.DUMMYFUNCTION("""COMPUTED_VALUE"""),"CD51")</f>
        <v>CD51</v>
      </c>
      <c r="H240" s="50" t="str">
        <f ca="1">IFERROR(__xludf.DUMMYFUNCTION("""COMPUTED_VALUE"""),"inactivité 3ème année")</f>
        <v>inactivité 3ème année</v>
      </c>
    </row>
    <row r="241" spans="1:8" ht="12.75">
      <c r="A241" s="46">
        <f ca="1">IFERROR(__xludf.DUMMYFUNCTION("""COMPUTED_VALUE"""),229)</f>
        <v>229</v>
      </c>
      <c r="B241" s="65" t="str">
        <f ca="1">IFERROR(__xludf.DUMMYFUNCTION("""COMPUTED_VALUE"""),"517638")</f>
        <v>517638</v>
      </c>
      <c r="C241" s="48" t="str">
        <f ca="1">IFERROR(__xludf.DUMMYFUNCTION("""COMPUTED_VALUE"""),"MANGEOT")</f>
        <v>MANGEOT</v>
      </c>
      <c r="D241" s="48" t="str">
        <f ca="1">IFERROR(__xludf.DUMMYFUNCTION("""COMPUTED_VALUE"""),"Karelle")</f>
        <v>Karelle</v>
      </c>
      <c r="E241" s="49" t="str">
        <f ca="1">IFERROR(__xludf.DUMMYFUNCTION("""COMPUTED_VALUE"""),"06510029")</f>
        <v>06510029</v>
      </c>
      <c r="F241" s="48" t="str">
        <f ca="1">IFERROR(__xludf.DUMMYFUNCTION("""COMPUTED_VALUE"""),"GRAUVES TT")</f>
        <v>GRAUVES TT</v>
      </c>
      <c r="G241" s="50" t="str">
        <f ca="1">IFERROR(__xludf.DUMMYFUNCTION("""COMPUTED_VALUE"""),"CD51")</f>
        <v>CD51</v>
      </c>
      <c r="H241" s="50" t="str">
        <f ca="1">IFERROR(__xludf.DUMMYFUNCTION("""COMPUTED_VALUE"""),"inactivité 3ème année")</f>
        <v>inactivité 3ème année</v>
      </c>
    </row>
    <row r="242" spans="1:8" ht="12.75">
      <c r="A242" s="46">
        <f ca="1">IFERROR(__xludf.DUMMYFUNCTION("""COMPUTED_VALUE"""),230)</f>
        <v>230</v>
      </c>
      <c r="B242" s="65" t="str">
        <f ca="1">IFERROR(__xludf.DUMMYFUNCTION("""COMPUTED_VALUE"""),"517088")</f>
        <v>517088</v>
      </c>
      <c r="C242" s="48" t="str">
        <f ca="1">IFERROR(__xludf.DUMMYFUNCTION("""COMPUTED_VALUE"""),"MANSART")</f>
        <v>MANSART</v>
      </c>
      <c r="D242" s="48" t="str">
        <f ca="1">IFERROR(__xludf.DUMMYFUNCTION("""COMPUTED_VALUE"""),"Michel")</f>
        <v>Michel</v>
      </c>
      <c r="E242" s="49" t="str">
        <f ca="1">IFERROR(__xludf.DUMMYFUNCTION("""COMPUTED_VALUE"""),"06510004")</f>
        <v>06510004</v>
      </c>
      <c r="F242" s="48" t="str">
        <f ca="1">IFERROR(__xludf.DUMMYFUNCTION("""COMPUTED_VALUE"""),"CHALONS ASPTT")</f>
        <v>CHALONS ASPTT</v>
      </c>
      <c r="G242" s="50" t="str">
        <f ca="1">IFERROR(__xludf.DUMMYFUNCTION("""COMPUTED_VALUE"""),"CD51")</f>
        <v>CD51</v>
      </c>
      <c r="H242" s="50" t="str">
        <f ca="1">IFERROR(__xludf.DUMMYFUNCTION("""COMPUTED_VALUE"""),"inactivité 2ème année")</f>
        <v>inactivité 2ème année</v>
      </c>
    </row>
    <row r="243" spans="1:8" ht="12.75">
      <c r="A243" s="46">
        <f ca="1">IFERROR(__xludf.DUMMYFUNCTION("""COMPUTED_VALUE"""),231)</f>
        <v>231</v>
      </c>
      <c r="B243" s="65" t="str">
        <f ca="1">IFERROR(__xludf.DUMMYFUNCTION("""COMPUTED_VALUE"""),"106000")</f>
        <v>106000</v>
      </c>
      <c r="C243" s="48" t="str">
        <f ca="1">IFERROR(__xludf.DUMMYFUNCTION("""COMPUTED_VALUE"""),"MARAVAL")</f>
        <v>MARAVAL</v>
      </c>
      <c r="D243" s="48" t="str">
        <f ca="1">IFERROR(__xludf.DUMMYFUNCTION("""COMPUTED_VALUE"""),"Lucas")</f>
        <v>Lucas</v>
      </c>
      <c r="E243" s="49" t="str">
        <f ca="1">IFERROR(__xludf.DUMMYFUNCTION("""COMPUTED_VALUE"""),"06510112")</f>
        <v>06510112</v>
      </c>
      <c r="F243" s="48" t="str">
        <f ca="1">IFERROR(__xludf.DUMMYFUNCTION("""COMPUTED_VALUE"""),"CHALONS-EN-CHAMPAGNE TT")</f>
        <v>CHALONS-EN-CHAMPAGNE TT</v>
      </c>
      <c r="G243" s="50" t="str">
        <f ca="1">IFERROR(__xludf.DUMMYFUNCTION("""COMPUTED_VALUE"""),"CD51")</f>
        <v>CD51</v>
      </c>
      <c r="H243" s="50" t="str">
        <f ca="1">IFERROR(__xludf.DUMMYFUNCTION("""COMPUTED_VALUE"""),"actif")</f>
        <v>actif</v>
      </c>
    </row>
    <row r="244" spans="1:8" ht="12.75">
      <c r="A244" s="46">
        <f ca="1">IFERROR(__xludf.DUMMYFUNCTION("""COMPUTED_VALUE"""),232)</f>
        <v>232</v>
      </c>
      <c r="B244" s="65" t="str">
        <f ca="1">IFERROR(__xludf.DUMMYFUNCTION("""COMPUTED_VALUE"""),"889080")</f>
        <v>889080</v>
      </c>
      <c r="C244" s="48" t="str">
        <f ca="1">IFERROR(__xludf.DUMMYFUNCTION("""COMPUTED_VALUE"""),"MARQUES")</f>
        <v>MARQUES</v>
      </c>
      <c r="D244" s="48" t="str">
        <f ca="1">IFERROR(__xludf.DUMMYFUNCTION("""COMPUTED_VALUE"""),"Vincent")</f>
        <v>Vincent</v>
      </c>
      <c r="E244" s="49" t="str">
        <f ca="1">IFERROR(__xludf.DUMMYFUNCTION("""COMPUTED_VALUE"""),"06880119")</f>
        <v>06880119</v>
      </c>
      <c r="F244" s="48" t="str">
        <f ca="1">IFERROR(__xludf.DUMMYFUNCTION("""COMPUTED_VALUE"""),"CHARMES-VINCEY T.T.")</f>
        <v>CHARMES-VINCEY T.T.</v>
      </c>
      <c r="G244" s="50" t="str">
        <f ca="1">IFERROR(__xludf.DUMMYFUNCTION("""COMPUTED_VALUE"""),"CD88")</f>
        <v>CD88</v>
      </c>
      <c r="H244" s="50" t="str">
        <f ca="1">IFERROR(__xludf.DUMMYFUNCTION("""COMPUTED_VALUE"""),"inactivité 2ème année")</f>
        <v>inactivité 2ème année</v>
      </c>
    </row>
    <row r="245" spans="1:8" ht="12.75">
      <c r="A245" s="46">
        <f ca="1">IFERROR(__xludf.DUMMYFUNCTION("""COMPUTED_VALUE"""),233)</f>
        <v>233</v>
      </c>
      <c r="B245" s="65" t="str">
        <f ca="1">IFERROR(__xludf.DUMMYFUNCTION("""COMPUTED_VALUE"""),"6810097")</f>
        <v>6810097</v>
      </c>
      <c r="C245" s="48" t="str">
        <f ca="1">IFERROR(__xludf.DUMMYFUNCTION("""COMPUTED_VALUE"""),"MARROCCO")</f>
        <v>MARROCCO</v>
      </c>
      <c r="D245" s="48" t="str">
        <f ca="1">IFERROR(__xludf.DUMMYFUNCTION("""COMPUTED_VALUE"""),"Philippe")</f>
        <v>Philippe</v>
      </c>
      <c r="E245" s="49" t="str">
        <f ca="1">IFERROR(__xludf.DUMMYFUNCTION("""COMPUTED_VALUE"""),"06680116")</f>
        <v>06680116</v>
      </c>
      <c r="F245" s="48" t="str">
        <f ca="1">IFERROR(__xludf.DUMMYFUNCTION("""COMPUTED_VALUE"""),"WINTZFELDEN TT")</f>
        <v>WINTZFELDEN TT</v>
      </c>
      <c r="G245" s="50" t="str">
        <f ca="1">IFERROR(__xludf.DUMMYFUNCTION("""COMPUTED_VALUE"""),"CD68")</f>
        <v>CD68</v>
      </c>
      <c r="H245" s="50" t="str">
        <f ca="1">IFERROR(__xludf.DUMMYFUNCTION("""COMPUTED_VALUE"""),"inactivité 2ème année")</f>
        <v>inactivité 2ème année</v>
      </c>
    </row>
    <row r="246" spans="1:8" ht="12.75">
      <c r="A246" s="46">
        <f ca="1">IFERROR(__xludf.DUMMYFUNCTION("""COMPUTED_VALUE"""),234)</f>
        <v>234</v>
      </c>
      <c r="B246" s="65" t="str">
        <f ca="1">IFERROR(__xludf.DUMMYFUNCTION("""COMPUTED_VALUE"""),"517951")</f>
        <v>517951</v>
      </c>
      <c r="C246" s="48" t="str">
        <f ca="1">IFERROR(__xludf.DUMMYFUNCTION("""COMPUTED_VALUE"""),"MARTENS")</f>
        <v>MARTENS</v>
      </c>
      <c r="D246" s="48" t="str">
        <f ca="1">IFERROR(__xludf.DUMMYFUNCTION("""COMPUTED_VALUE"""),"Sebastien")</f>
        <v>Sebastien</v>
      </c>
      <c r="E246" s="49" t="str">
        <f ca="1">IFERROR(__xludf.DUMMYFUNCTION("""COMPUTED_VALUE"""),"06570190")</f>
        <v>06570190</v>
      </c>
      <c r="F246" s="48" t="str">
        <f ca="1">IFERROR(__xludf.DUMMYFUNCTION("""COMPUTED_VALUE"""),"METZ Tennis de Table")</f>
        <v>METZ Tennis de Table</v>
      </c>
      <c r="G246" s="50" t="str">
        <f ca="1">IFERROR(__xludf.DUMMYFUNCTION("""COMPUTED_VALUE"""),"CD57")</f>
        <v>CD57</v>
      </c>
      <c r="H246" s="50" t="str">
        <f ca="1">IFERROR(__xludf.DUMMYFUNCTION("""COMPUTED_VALUE"""),"inactivité 1ère année")</f>
        <v>inactivité 1ère année</v>
      </c>
    </row>
    <row r="247" spans="1:8" ht="12.75">
      <c r="A247" s="46">
        <f ca="1">IFERROR(__xludf.DUMMYFUNCTION("""COMPUTED_VALUE"""),235)</f>
        <v>235</v>
      </c>
      <c r="B247" s="65" t="str">
        <f ca="1">IFERROR(__xludf.DUMMYFUNCTION("""COMPUTED_VALUE"""),"675304")</f>
        <v>675304</v>
      </c>
      <c r="C247" s="48" t="str">
        <f ca="1">IFERROR(__xludf.DUMMYFUNCTION("""COMPUTED_VALUE"""),"MARTIN")</f>
        <v>MARTIN</v>
      </c>
      <c r="D247" s="48" t="str">
        <f ca="1">IFERROR(__xludf.DUMMYFUNCTION("""COMPUTED_VALUE"""),"Jean-philippe")</f>
        <v>Jean-philippe</v>
      </c>
      <c r="E247" s="49" t="str">
        <f ca="1">IFERROR(__xludf.DUMMYFUNCTION("""COMPUTED_VALUE"""),"06670045")</f>
        <v>06670045</v>
      </c>
      <c r="F247" s="48" t="str">
        <f ca="1">IFERROR(__xludf.DUMMYFUNCTION("""COMPUTED_VALUE"""),"STRASBOURG RC")</f>
        <v>STRASBOURG RC</v>
      </c>
      <c r="G247" s="50" t="str">
        <f ca="1">IFERROR(__xludf.DUMMYFUNCTION("""COMPUTED_VALUE"""),"CD67")</f>
        <v>CD67</v>
      </c>
      <c r="H247" s="50" t="str">
        <f ca="1">IFERROR(__xludf.DUMMYFUNCTION("""COMPUTED_VALUE"""),"inactivité 1ère année")</f>
        <v>inactivité 1ère année</v>
      </c>
    </row>
    <row r="248" spans="1:8" ht="12.75">
      <c r="A248" s="46">
        <f ca="1">IFERROR(__xludf.DUMMYFUNCTION("""COMPUTED_VALUE"""),236)</f>
        <v>236</v>
      </c>
      <c r="B248" s="65" t="str">
        <f ca="1">IFERROR(__xludf.DUMMYFUNCTION("""COMPUTED_VALUE"""),"57981")</f>
        <v>57981</v>
      </c>
      <c r="C248" s="48" t="str">
        <f ca="1">IFERROR(__xludf.DUMMYFUNCTION("""COMPUTED_VALUE"""),"MATHIS")</f>
        <v>MATHIS</v>
      </c>
      <c r="D248" s="48" t="str">
        <f ca="1">IFERROR(__xludf.DUMMYFUNCTION("""COMPUTED_VALUE"""),"Frederic")</f>
        <v>Frederic</v>
      </c>
      <c r="E248" s="49" t="str">
        <f ca="1">IFERROR(__xludf.DUMMYFUNCTION("""COMPUTED_VALUE"""),"06570158")</f>
        <v>06570158</v>
      </c>
      <c r="F248" s="48" t="str">
        <f ca="1">IFERROR(__xludf.DUMMYFUNCTION("""COMPUTED_VALUE"""),"KNUTANGE-NILVANGE TT")</f>
        <v>KNUTANGE-NILVANGE TT</v>
      </c>
      <c r="G248" s="50" t="str">
        <f ca="1">IFERROR(__xludf.DUMMYFUNCTION("""COMPUTED_VALUE"""),"CD57")</f>
        <v>CD57</v>
      </c>
      <c r="H248" s="50" t="str">
        <f ca="1">IFERROR(__xludf.DUMMYFUNCTION("""COMPUTED_VALUE"""),"inactivité 2ème année")</f>
        <v>inactivité 2ème année</v>
      </c>
    </row>
    <row r="249" spans="1:8" ht="12.75">
      <c r="A249" s="46">
        <f ca="1">IFERROR(__xludf.DUMMYFUNCTION("""COMPUTED_VALUE"""),237)</f>
        <v>237</v>
      </c>
      <c r="B249" s="65" t="str">
        <f ca="1">IFERROR(__xludf.DUMMYFUNCTION("""COMPUTED_VALUE"""),"8817455")</f>
        <v>8817455</v>
      </c>
      <c r="C249" s="48" t="str">
        <f ca="1">IFERROR(__xludf.DUMMYFUNCTION("""COMPUTED_VALUE"""),"MATHIS")</f>
        <v>MATHIS</v>
      </c>
      <c r="D249" s="48" t="str">
        <f ca="1">IFERROR(__xludf.DUMMYFUNCTION("""COMPUTED_VALUE"""),"Anthony")</f>
        <v>Anthony</v>
      </c>
      <c r="E249" s="49" t="str">
        <f ca="1">IFERROR(__xludf.DUMMYFUNCTION("""COMPUTED_VALUE"""),"06880002")</f>
        <v>06880002</v>
      </c>
      <c r="F249" s="48" t="str">
        <f ca="1">IFERROR(__xludf.DUMMYFUNCTION("""COMPUTED_VALUE"""),"ANOULD Cercle Pongiste")</f>
        <v>ANOULD Cercle Pongiste</v>
      </c>
      <c r="G249" s="50" t="str">
        <f ca="1">IFERROR(__xludf.DUMMYFUNCTION("""COMPUTED_VALUE"""),"CD88")</f>
        <v>CD88</v>
      </c>
      <c r="H249" s="50" t="str">
        <f ca="1">IFERROR(__xludf.DUMMYFUNCTION("""COMPUTED_VALUE"""),"inactivité 3ème année")</f>
        <v>inactivité 3ème année</v>
      </c>
    </row>
    <row r="250" spans="1:8" ht="12.75">
      <c r="A250" s="46">
        <f ca="1">IFERROR(__xludf.DUMMYFUNCTION("""COMPUTED_VALUE"""),238)</f>
        <v>238</v>
      </c>
      <c r="B250" s="65" t="str">
        <f ca="1">IFERROR(__xludf.DUMMYFUNCTION("""COMPUTED_VALUE"""),"6714389")</f>
        <v>6714389</v>
      </c>
      <c r="C250" s="48" t="str">
        <f ca="1">IFERROR(__xludf.DUMMYFUNCTION("""COMPUTED_VALUE"""),"MATTERN")</f>
        <v>MATTERN</v>
      </c>
      <c r="D250" s="48" t="str">
        <f ca="1">IFERROR(__xludf.DUMMYFUNCTION("""COMPUTED_VALUE"""),"Yann")</f>
        <v>Yann</v>
      </c>
      <c r="E250" s="49" t="str">
        <f ca="1">IFERROR(__xludf.DUMMYFUNCTION("""COMPUTED_VALUE"""),"06670248")</f>
        <v>06670248</v>
      </c>
      <c r="F250" s="48" t="str">
        <f ca="1">IFERROR(__xludf.DUMMYFUNCTION("""COMPUTED_VALUE"""),"MARMOUTIER CSE")</f>
        <v>MARMOUTIER CSE</v>
      </c>
      <c r="G250" s="50" t="str">
        <f ca="1">IFERROR(__xludf.DUMMYFUNCTION("""COMPUTED_VALUE"""),"CD67")</f>
        <v>CD67</v>
      </c>
      <c r="H250" s="50" t="str">
        <f ca="1">IFERROR(__xludf.DUMMYFUNCTION("""COMPUTED_VALUE"""),"inactivité 3ème année")</f>
        <v>inactivité 3ème année</v>
      </c>
    </row>
    <row r="251" spans="1:8" ht="12.75">
      <c r="A251" s="46">
        <f ca="1">IFERROR(__xludf.DUMMYFUNCTION("""COMPUTED_VALUE"""),239)</f>
        <v>239</v>
      </c>
      <c r="B251" s="65" t="str">
        <f ca="1">IFERROR(__xludf.DUMMYFUNCTION("""COMPUTED_VALUE"""),"8810593")</f>
        <v>8810593</v>
      </c>
      <c r="C251" s="48" t="str">
        <f ca="1">IFERROR(__xludf.DUMMYFUNCTION("""COMPUTED_VALUE"""),"MAUCOTEL")</f>
        <v>MAUCOTEL</v>
      </c>
      <c r="D251" s="48" t="str">
        <f ca="1">IFERROR(__xludf.DUMMYFUNCTION("""COMPUTED_VALUE"""),"Ludovic")</f>
        <v>Ludovic</v>
      </c>
      <c r="E251" s="49" t="str">
        <f ca="1">IFERROR(__xludf.DUMMYFUNCTION("""COMPUTED_VALUE"""),"06880022")</f>
        <v>06880022</v>
      </c>
      <c r="F251" s="48" t="str">
        <f ca="1">IFERROR(__xludf.DUMMYFUNCTION("""COMPUTED_VALUE"""),"VITTEL SAINT REMY TT")</f>
        <v>VITTEL SAINT REMY TT</v>
      </c>
      <c r="G251" s="50" t="str">
        <f ca="1">IFERROR(__xludf.DUMMYFUNCTION("""COMPUTED_VALUE"""),"CD88")</f>
        <v>CD88</v>
      </c>
      <c r="H251" s="50" t="str">
        <f ca="1">IFERROR(__xludf.DUMMYFUNCTION("""COMPUTED_VALUE"""),"inactivité 2ème année")</f>
        <v>inactivité 2ème année</v>
      </c>
    </row>
    <row r="252" spans="1:8" ht="12.75">
      <c r="A252" s="46">
        <f ca="1">IFERROR(__xludf.DUMMYFUNCTION("""COMPUTED_VALUE"""),240)</f>
        <v>240</v>
      </c>
      <c r="B252" s="65" t="str">
        <f ca="1">IFERROR(__xludf.DUMMYFUNCTION("""COMPUTED_VALUE"""),"5112971")</f>
        <v>5112971</v>
      </c>
      <c r="C252" s="48" t="str">
        <f ca="1">IFERROR(__xludf.DUMMYFUNCTION("""COMPUTED_VALUE"""),"MAUFFRE")</f>
        <v>MAUFFRE</v>
      </c>
      <c r="D252" s="48" t="str">
        <f ca="1">IFERROR(__xludf.DUMMYFUNCTION("""COMPUTED_VALUE"""),"Hugo")</f>
        <v>Hugo</v>
      </c>
      <c r="E252" s="49" t="str">
        <f ca="1">IFERROR(__xludf.DUMMYFUNCTION("""COMPUTED_VALUE"""),"06510018")</f>
        <v>06510018</v>
      </c>
      <c r="F252" s="48" t="str">
        <f ca="1">IFERROR(__xludf.DUMMYFUNCTION("""COMPUTED_VALUE"""),"REIMS ASPTT")</f>
        <v>REIMS ASPTT</v>
      </c>
      <c r="G252" s="50" t="str">
        <f ca="1">IFERROR(__xludf.DUMMYFUNCTION("""COMPUTED_VALUE"""),"CD51")</f>
        <v>CD51</v>
      </c>
      <c r="H252" s="50" t="str">
        <f ca="1">IFERROR(__xludf.DUMMYFUNCTION("""COMPUTED_VALUE"""),"inactivité 2ème année")</f>
        <v>inactivité 2ème année</v>
      </c>
    </row>
    <row r="253" spans="1:8" ht="12.75">
      <c r="A253" s="46">
        <f ca="1">IFERROR(__xludf.DUMMYFUNCTION("""COMPUTED_VALUE"""),241)</f>
        <v>241</v>
      </c>
      <c r="B253" s="65" t="str">
        <f ca="1">IFERROR(__xludf.DUMMYFUNCTION("""COMPUTED_VALUE"""),"5723056")</f>
        <v>5723056</v>
      </c>
      <c r="C253" s="48" t="str">
        <f ca="1">IFERROR(__xludf.DUMMYFUNCTION("""COMPUTED_VALUE"""),"MAURER")</f>
        <v>MAURER</v>
      </c>
      <c r="D253" s="48" t="str">
        <f ca="1">IFERROR(__xludf.DUMMYFUNCTION("""COMPUTED_VALUE"""),"Mathieu")</f>
        <v>Mathieu</v>
      </c>
      <c r="E253" s="49" t="str">
        <f ca="1">IFERROR(__xludf.DUMMYFUNCTION("""COMPUTED_VALUE"""),"06570154")</f>
        <v>06570154</v>
      </c>
      <c r="F253" s="48" t="str">
        <f ca="1">IFERROR(__xludf.DUMMYFUNCTION("""COMPUTED_VALUE"""),"SAINT JEAN KOURTZERODE LJ")</f>
        <v>SAINT JEAN KOURTZERODE LJ</v>
      </c>
      <c r="G253" s="50" t="str">
        <f ca="1">IFERROR(__xludf.DUMMYFUNCTION("""COMPUTED_VALUE"""),"CD57")</f>
        <v>CD57</v>
      </c>
      <c r="H253" s="50" t="str">
        <f ca="1">IFERROR(__xludf.DUMMYFUNCTION("""COMPUTED_VALUE"""),"actif")</f>
        <v>actif</v>
      </c>
    </row>
    <row r="254" spans="1:8" ht="12.75">
      <c r="A254" s="46">
        <f ca="1">IFERROR(__xludf.DUMMYFUNCTION("""COMPUTED_VALUE"""),242)</f>
        <v>242</v>
      </c>
      <c r="B254" s="65" t="str">
        <f ca="1">IFERROR(__xludf.DUMMYFUNCTION("""COMPUTED_VALUE"""),"6710512")</f>
        <v>6710512</v>
      </c>
      <c r="C254" s="48" t="str">
        <f ca="1">IFERROR(__xludf.DUMMYFUNCTION("""COMPUTED_VALUE"""),"MAYER")</f>
        <v>MAYER</v>
      </c>
      <c r="D254" s="48" t="str">
        <f ca="1">IFERROR(__xludf.DUMMYFUNCTION("""COMPUTED_VALUE"""),"Jean-Marc")</f>
        <v>Jean-Marc</v>
      </c>
      <c r="E254" s="49" t="str">
        <f ca="1">IFERROR(__xludf.DUMMYFUNCTION("""COMPUTED_VALUE"""),"06670260")</f>
        <v>06670260</v>
      </c>
      <c r="F254" s="48" t="str">
        <f ca="1">IFERROR(__xludf.DUMMYFUNCTION("""COMPUTED_VALUE"""),"SARRE-UNION CTT")</f>
        <v>SARRE-UNION CTT</v>
      </c>
      <c r="G254" s="50" t="str">
        <f ca="1">IFERROR(__xludf.DUMMYFUNCTION("""COMPUTED_VALUE"""),"CD67")</f>
        <v>CD67</v>
      </c>
      <c r="H254" s="50" t="str">
        <f ca="1">IFERROR(__xludf.DUMMYFUNCTION("""COMPUTED_VALUE"""),"inactivité 1ère année")</f>
        <v>inactivité 1ère année</v>
      </c>
    </row>
    <row r="255" spans="1:8" ht="12.75">
      <c r="A255" s="46">
        <f ca="1">IFERROR(__xludf.DUMMYFUNCTION("""COMPUTED_VALUE"""),243)</f>
        <v>243</v>
      </c>
      <c r="B255" s="65" t="str">
        <f ca="1">IFERROR(__xludf.DUMMYFUNCTION("""COMPUTED_VALUE"""),"51812")</f>
        <v>51812</v>
      </c>
      <c r="C255" s="48" t="str">
        <f ca="1">IFERROR(__xludf.DUMMYFUNCTION("""COMPUTED_VALUE"""),"MAYEUX")</f>
        <v>MAYEUX</v>
      </c>
      <c r="D255" s="48" t="str">
        <f ca="1">IFERROR(__xludf.DUMMYFUNCTION("""COMPUTED_VALUE"""),"Yves")</f>
        <v>Yves</v>
      </c>
      <c r="E255" s="49" t="str">
        <f ca="1">IFERROR(__xludf.DUMMYFUNCTION("""COMPUTED_VALUE"""),"06510018")</f>
        <v>06510018</v>
      </c>
      <c r="F255" s="48" t="str">
        <f ca="1">IFERROR(__xludf.DUMMYFUNCTION("""COMPUTED_VALUE"""),"REIMS ASPTT")</f>
        <v>REIMS ASPTT</v>
      </c>
      <c r="G255" s="50" t="str">
        <f ca="1">IFERROR(__xludf.DUMMYFUNCTION("""COMPUTED_VALUE"""),"CD51")</f>
        <v>CD51</v>
      </c>
      <c r="H255" s="50" t="str">
        <f ca="1">IFERROR(__xludf.DUMMYFUNCTION("""COMPUTED_VALUE"""),"inactivité 2ème année")</f>
        <v>inactivité 2ème année</v>
      </c>
    </row>
    <row r="256" spans="1:8" ht="12.75">
      <c r="A256" s="46">
        <f ca="1">IFERROR(__xludf.DUMMYFUNCTION("""COMPUTED_VALUE"""),244)</f>
        <v>244</v>
      </c>
      <c r="B256" s="65" t="str">
        <f ca="1">IFERROR(__xludf.DUMMYFUNCTION("""COMPUTED_VALUE"""),"681447")</f>
        <v>681447</v>
      </c>
      <c r="C256" s="48" t="str">
        <f ca="1">IFERROR(__xludf.DUMMYFUNCTION("""COMPUTED_VALUE"""),"MEHR")</f>
        <v>MEHR</v>
      </c>
      <c r="D256" s="48" t="str">
        <f ca="1">IFERROR(__xludf.DUMMYFUNCTION("""COMPUTED_VALUE"""),"Guy")</f>
        <v>Guy</v>
      </c>
      <c r="E256" s="49" t="str">
        <f ca="1">IFERROR(__xludf.DUMMYFUNCTION("""COMPUTED_VALUE"""),"06680082")</f>
        <v>06680082</v>
      </c>
      <c r="F256" s="48" t="str">
        <f ca="1">IFERROR(__xludf.DUMMYFUNCTION("""COMPUTED_VALUE"""),"SAINT-LOUIS TT")</f>
        <v>SAINT-LOUIS TT</v>
      </c>
      <c r="G256" s="50" t="str">
        <f ca="1">IFERROR(__xludf.DUMMYFUNCTION("""COMPUTED_VALUE"""),"CD68")</f>
        <v>CD68</v>
      </c>
      <c r="H256" s="50" t="str">
        <f ca="1">IFERROR(__xludf.DUMMYFUNCTION("""COMPUTED_VALUE"""),"inactivité 3ème année")</f>
        <v>inactivité 3ème année</v>
      </c>
    </row>
    <row r="257" spans="1:8" ht="12.75">
      <c r="A257" s="46">
        <f ca="1">IFERROR(__xludf.DUMMYFUNCTION("""COMPUTED_VALUE"""),245)</f>
        <v>245</v>
      </c>
      <c r="B257" s="65" t="str">
        <f ca="1">IFERROR(__xludf.DUMMYFUNCTION("""COMPUTED_VALUE"""),"5733802")</f>
        <v>5733802</v>
      </c>
      <c r="C257" s="48" t="str">
        <f ca="1">IFERROR(__xludf.DUMMYFUNCTION("""COMPUTED_VALUE"""),"MELLARD")</f>
        <v>MELLARD</v>
      </c>
      <c r="D257" s="71" t="str">
        <f ca="1">IFERROR(__xludf.DUMMYFUNCTION("""COMPUTED_VALUE"""),"Quentin")</f>
        <v>Quentin</v>
      </c>
      <c r="E257" s="73" t="str">
        <f ca="1">IFERROR(__xludf.DUMMYFUNCTION("""COMPUTED_VALUE"""),"06570057")</f>
        <v>06570057</v>
      </c>
      <c r="F257" s="72" t="str">
        <f ca="1">IFERROR(__xludf.DUMMYFUNCTION("""COMPUTED_VALUE"""),"FREYMING-ST MAURICE LTDP")</f>
        <v>FREYMING-ST MAURICE LTDP</v>
      </c>
      <c r="G257" s="52" t="str">
        <f ca="1">IFERROR(__xludf.DUMMYFUNCTION("""COMPUTED_VALUE"""),"CD57")</f>
        <v>CD57</v>
      </c>
      <c r="H257" s="52" t="str">
        <f ca="1">IFERROR(__xludf.DUMMYFUNCTION("""COMPUTED_VALUE"""),"inactivité 3ème année")</f>
        <v>inactivité 3ème année</v>
      </c>
    </row>
    <row r="258" spans="1:8" ht="12.75">
      <c r="A258" s="46">
        <f ca="1">IFERROR(__xludf.DUMMYFUNCTION("""COMPUTED_VALUE"""),246)</f>
        <v>246</v>
      </c>
      <c r="B258" s="65" t="str">
        <f ca="1">IFERROR(__xludf.DUMMYFUNCTION("""COMPUTED_VALUE"""),"5726361")</f>
        <v>5726361</v>
      </c>
      <c r="C258" s="48" t="str">
        <f ca="1">IFERROR(__xludf.DUMMYFUNCTION("""COMPUTED_VALUE"""),"METZELER")</f>
        <v>METZELER</v>
      </c>
      <c r="D258" s="48" t="str">
        <f ca="1">IFERROR(__xludf.DUMMYFUNCTION("""COMPUTED_VALUE"""),"Enguerrand")</f>
        <v>Enguerrand</v>
      </c>
      <c r="E258" s="49" t="str">
        <f ca="1">IFERROR(__xludf.DUMMYFUNCTION("""COMPUTED_VALUE"""),"06570015")</f>
        <v>06570015</v>
      </c>
      <c r="F258" s="48" t="str">
        <f ca="1">IFERROR(__xludf.DUMMYFUNCTION("""COMPUTED_VALUE"""),"MONTIGNY LES METZ T.T.")</f>
        <v>MONTIGNY LES METZ T.T.</v>
      </c>
      <c r="G258" s="50" t="str">
        <f ca="1">IFERROR(__xludf.DUMMYFUNCTION("""COMPUTED_VALUE"""),"CD57")</f>
        <v>CD57</v>
      </c>
      <c r="H258" s="50" t="str">
        <f ca="1">IFERROR(__xludf.DUMMYFUNCTION("""COMPUTED_VALUE"""),"inactivité 1ère année")</f>
        <v>inactivité 1ère année</v>
      </c>
    </row>
    <row r="259" spans="1:8" ht="12.75">
      <c r="A259" s="46">
        <f ca="1">IFERROR(__xludf.DUMMYFUNCTION("""COMPUTED_VALUE"""),247)</f>
        <v>247</v>
      </c>
      <c r="B259" s="65" t="str">
        <f ca="1">IFERROR(__xludf.DUMMYFUNCTION("""COMPUTED_VALUE"""),"687578")</f>
        <v>687578</v>
      </c>
      <c r="C259" s="48" t="str">
        <f ca="1">IFERROR(__xludf.DUMMYFUNCTION("""COMPUTED_VALUE"""),"MEVEL")</f>
        <v>MEVEL</v>
      </c>
      <c r="D259" s="48" t="str">
        <f ca="1">IFERROR(__xludf.DUMMYFUNCTION("""COMPUTED_VALUE"""),"Yvon")</f>
        <v>Yvon</v>
      </c>
      <c r="E259" s="49" t="str">
        <f ca="1">IFERROR(__xludf.DUMMYFUNCTION("""COMPUTED_VALUE"""),"06680071")</f>
        <v>06680071</v>
      </c>
      <c r="F259" s="48" t="str">
        <f ca="1">IFERROR(__xludf.DUMMYFUNCTION("""COMPUTED_VALUE"""),"ISSENHEIM TT")</f>
        <v>ISSENHEIM TT</v>
      </c>
      <c r="G259" s="50" t="str">
        <f ca="1">IFERROR(__xludf.DUMMYFUNCTION("""COMPUTED_VALUE"""),"CD68")</f>
        <v>CD68</v>
      </c>
      <c r="H259" s="50" t="str">
        <f ca="1">IFERROR(__xludf.DUMMYFUNCTION("""COMPUTED_VALUE"""),"inactivité 2ème année")</f>
        <v>inactivité 2ème année</v>
      </c>
    </row>
    <row r="260" spans="1:8" ht="12.75">
      <c r="A260" s="46">
        <f ca="1">IFERROR(__xludf.DUMMYFUNCTION("""COMPUTED_VALUE"""),248)</f>
        <v>248</v>
      </c>
      <c r="B260" s="65" t="str">
        <f ca="1">IFERROR(__xludf.DUMMYFUNCTION("""COMPUTED_VALUE"""),"6719121")</f>
        <v>6719121</v>
      </c>
      <c r="C260" s="48" t="str">
        <f ca="1">IFERROR(__xludf.DUMMYFUNCTION("""COMPUTED_VALUE"""),"MEYER")</f>
        <v>MEYER</v>
      </c>
      <c r="D260" s="48" t="str">
        <f ca="1">IFERROR(__xludf.DUMMYFUNCTION("""COMPUTED_VALUE"""),"Valentin")</f>
        <v>Valentin</v>
      </c>
      <c r="E260" s="49" t="str">
        <f ca="1">IFERROR(__xludf.DUMMYFUNCTION("""COMPUTED_VALUE"""),"06670216")</f>
        <v>06670216</v>
      </c>
      <c r="F260" s="48" t="str">
        <f ca="1">IFERROR(__xludf.DUMMYFUNCTION("""COMPUTED_VALUE"""),"HOERDT T.T.")</f>
        <v>HOERDT T.T.</v>
      </c>
      <c r="G260" s="50" t="str">
        <f ca="1">IFERROR(__xludf.DUMMYFUNCTION("""COMPUTED_VALUE"""),"CD67")</f>
        <v>CD67</v>
      </c>
      <c r="H260" s="50" t="str">
        <f ca="1">IFERROR(__xludf.DUMMYFUNCTION("""COMPUTED_VALUE"""),"inactivité 1ère année")</f>
        <v>inactivité 1ère année</v>
      </c>
    </row>
    <row r="261" spans="1:8" ht="12.75">
      <c r="A261" s="46">
        <f ca="1">IFERROR(__xludf.DUMMYFUNCTION("""COMPUTED_VALUE"""),249)</f>
        <v>249</v>
      </c>
      <c r="B261" s="65" t="str">
        <f ca="1">IFERROR(__xludf.DUMMYFUNCTION("""COMPUTED_VALUE"""),"547584")</f>
        <v>547584</v>
      </c>
      <c r="C261" s="48" t="str">
        <f ca="1">IFERROR(__xludf.DUMMYFUNCTION("""COMPUTED_VALUE"""),"MICHEL")</f>
        <v>MICHEL</v>
      </c>
      <c r="D261" s="48" t="str">
        <f ca="1">IFERROR(__xludf.DUMMYFUNCTION("""COMPUTED_VALUE"""),"Alain")</f>
        <v>Alain</v>
      </c>
      <c r="E261" s="49" t="str">
        <f ca="1">IFERROR(__xludf.DUMMYFUNCTION("""COMPUTED_VALUE"""),"06540014")</f>
        <v>06540014</v>
      </c>
      <c r="F261" s="48" t="str">
        <f ca="1">IFERROR(__xludf.DUMMYFUNCTION("""COMPUTED_VALUE"""),"HERSERANGE ASTT")</f>
        <v>HERSERANGE ASTT</v>
      </c>
      <c r="G261" s="50" t="str">
        <f ca="1">IFERROR(__xludf.DUMMYFUNCTION("""COMPUTED_VALUE"""),"CD54")</f>
        <v>CD54</v>
      </c>
      <c r="H261" s="50" t="str">
        <f ca="1">IFERROR(__xludf.DUMMYFUNCTION("""COMPUTED_VALUE"""),"actif")</f>
        <v>actif</v>
      </c>
    </row>
    <row r="262" spans="1:8" ht="12.75">
      <c r="A262" s="46">
        <f ca="1">IFERROR(__xludf.DUMMYFUNCTION("""COMPUTED_VALUE"""),250)</f>
        <v>250</v>
      </c>
      <c r="B262" s="65" t="str">
        <f ca="1">IFERROR(__xludf.DUMMYFUNCTION("""COMPUTED_VALUE"""),"8810790")</f>
        <v>8810790</v>
      </c>
      <c r="C262" s="48" t="str">
        <f ca="1">IFERROR(__xludf.DUMMYFUNCTION("""COMPUTED_VALUE"""),"MILLIOTTE")</f>
        <v>MILLIOTTE</v>
      </c>
      <c r="D262" s="48" t="str">
        <f ca="1">IFERROR(__xludf.DUMMYFUNCTION("""COMPUTED_VALUE"""),"Thibaut")</f>
        <v>Thibaut</v>
      </c>
      <c r="E262" s="49" t="str">
        <f ca="1">IFERROR(__xludf.DUMMYFUNCTION("""COMPUTED_VALUE"""),"06880022")</f>
        <v>06880022</v>
      </c>
      <c r="F262" s="48" t="str">
        <f ca="1">IFERROR(__xludf.DUMMYFUNCTION("""COMPUTED_VALUE"""),"VITTEL SAINT REMY TT")</f>
        <v>VITTEL SAINT REMY TT</v>
      </c>
      <c r="G262" s="50" t="str">
        <f ca="1">IFERROR(__xludf.DUMMYFUNCTION("""COMPUTED_VALUE"""),"CD88")</f>
        <v>CD88</v>
      </c>
      <c r="H262" s="50" t="str">
        <f ca="1">IFERROR(__xludf.DUMMYFUNCTION("""COMPUTED_VALUE"""),"inactivité 3ème année")</f>
        <v>inactivité 3ème année</v>
      </c>
    </row>
    <row r="263" spans="1:8" ht="12.75">
      <c r="A263" s="46">
        <f ca="1">IFERROR(__xludf.DUMMYFUNCTION("""COMPUTED_VALUE"""),251)</f>
        <v>251</v>
      </c>
      <c r="B263" s="65" t="str">
        <f ca="1">IFERROR(__xludf.DUMMYFUNCTION("""COMPUTED_VALUE"""),"57347")</f>
        <v>57347</v>
      </c>
      <c r="C263" s="48" t="str">
        <f ca="1">IFERROR(__xludf.DUMMYFUNCTION("""COMPUTED_VALUE"""),"MISTLER")</f>
        <v>MISTLER</v>
      </c>
      <c r="D263" s="48" t="str">
        <f ca="1">IFERROR(__xludf.DUMMYFUNCTION("""COMPUTED_VALUE"""),"Christian")</f>
        <v>Christian</v>
      </c>
      <c r="E263" s="49" t="str">
        <f ca="1">IFERROR(__xludf.DUMMYFUNCTION("""COMPUTED_VALUE"""),"06570019")</f>
        <v>06570019</v>
      </c>
      <c r="F263" s="48" t="str">
        <f ca="1">IFERROR(__xludf.DUMMYFUNCTION("""COMPUTED_VALUE"""),"SAINT AVOLD C.T.T.")</f>
        <v>SAINT AVOLD C.T.T.</v>
      </c>
      <c r="G263" s="50" t="str">
        <f ca="1">IFERROR(__xludf.DUMMYFUNCTION("""COMPUTED_VALUE"""),"CD57")</f>
        <v>CD57</v>
      </c>
      <c r="H263" s="50" t="str">
        <f ca="1">IFERROR(__xludf.DUMMYFUNCTION("""COMPUTED_VALUE"""),"inactivité 1ère année")</f>
        <v>inactivité 1ère année</v>
      </c>
    </row>
    <row r="264" spans="1:8" ht="12.75">
      <c r="A264" s="46">
        <f ca="1">IFERROR(__xludf.DUMMYFUNCTION("""COMPUTED_VALUE"""),252)</f>
        <v>252</v>
      </c>
      <c r="B264" s="65" t="str">
        <f ca="1">IFERROR(__xludf.DUMMYFUNCTION("""COMPUTED_VALUE"""),"104572")</f>
        <v>104572</v>
      </c>
      <c r="C264" s="48" t="str">
        <f ca="1">IFERROR(__xludf.DUMMYFUNCTION("""COMPUTED_VALUE"""),"MODOLO")</f>
        <v>MODOLO</v>
      </c>
      <c r="D264" s="48" t="str">
        <f ca="1">IFERROR(__xludf.DUMMYFUNCTION("""COMPUTED_VALUE"""),"Thierry")</f>
        <v>Thierry</v>
      </c>
      <c r="E264" s="49" t="str">
        <f ca="1">IFERROR(__xludf.DUMMYFUNCTION("""COMPUTED_VALUE"""),"06100002")</f>
        <v>06100002</v>
      </c>
      <c r="F264" s="48" t="str">
        <f ca="1">IFERROR(__xludf.DUMMYFUNCTION("""COMPUTED_VALUE"""),"TROYES O.S - NOËS TT")</f>
        <v>TROYES O.S - NOËS TT</v>
      </c>
      <c r="G264" s="50" t="str">
        <f ca="1">IFERROR(__xludf.DUMMYFUNCTION("""COMPUTED_VALUE"""),"CD10")</f>
        <v>CD10</v>
      </c>
      <c r="H264" s="50" t="str">
        <f ca="1">IFERROR(__xludf.DUMMYFUNCTION("""COMPUTED_VALUE"""),"inactivité 3ème année")</f>
        <v>inactivité 3ème année</v>
      </c>
    </row>
    <row r="265" spans="1:8" ht="12.75">
      <c r="A265" s="46">
        <f ca="1">IFERROR(__xludf.DUMMYFUNCTION("""COMPUTED_VALUE"""),253)</f>
        <v>253</v>
      </c>
      <c r="B265" s="65" t="str">
        <f ca="1">IFERROR(__xludf.DUMMYFUNCTION("""COMPUTED_VALUE"""),"543961")</f>
        <v>543961</v>
      </c>
      <c r="C265" s="48" t="str">
        <f ca="1">IFERROR(__xludf.DUMMYFUNCTION("""COMPUTED_VALUE"""),"MONCIEU")</f>
        <v>MONCIEU</v>
      </c>
      <c r="D265" s="48" t="str">
        <f ca="1">IFERROR(__xludf.DUMMYFUNCTION("""COMPUTED_VALUE"""),"Thomas")</f>
        <v>Thomas</v>
      </c>
      <c r="E265" s="49" t="str">
        <f ca="1">IFERROR(__xludf.DUMMYFUNCTION("""COMPUTED_VALUE"""),"06540128")</f>
        <v>06540128</v>
      </c>
      <c r="F265" s="48" t="str">
        <f ca="1">IFERROR(__xludf.DUMMYFUNCTION("""COMPUTED_VALUE"""),"PONT A MOUSSON A.S.T.T.")</f>
        <v>PONT A MOUSSON A.S.T.T.</v>
      </c>
      <c r="G265" s="50" t="str">
        <f ca="1">IFERROR(__xludf.DUMMYFUNCTION("""COMPUTED_VALUE"""),"CD54")</f>
        <v>CD54</v>
      </c>
      <c r="H265" s="50" t="str">
        <f ca="1">IFERROR(__xludf.DUMMYFUNCTION("""COMPUTED_VALUE"""),"actif")</f>
        <v>actif</v>
      </c>
    </row>
    <row r="266" spans="1:8" ht="12.75">
      <c r="A266" s="46">
        <f ca="1">IFERROR(__xludf.DUMMYFUNCTION("""COMPUTED_VALUE"""),254)</f>
        <v>254</v>
      </c>
      <c r="B266" s="65" t="str">
        <f ca="1">IFERROR(__xludf.DUMMYFUNCTION("""COMPUTED_VALUE"""),"675630")</f>
        <v>675630</v>
      </c>
      <c r="C266" s="48" t="str">
        <f ca="1">IFERROR(__xludf.DUMMYFUNCTION("""COMPUTED_VALUE"""),"MONNIER")</f>
        <v>MONNIER</v>
      </c>
      <c r="D266" s="48" t="str">
        <f ca="1">IFERROR(__xludf.DUMMYFUNCTION("""COMPUTED_VALUE"""),"Jean-Paul")</f>
        <v>Jean-Paul</v>
      </c>
      <c r="E266" s="49" t="str">
        <f ca="1">IFERROR(__xludf.DUMMYFUNCTION("""COMPUTED_VALUE"""),"06670195")</f>
        <v>06670195</v>
      </c>
      <c r="F266" s="48" t="str">
        <f ca="1">IFERROR(__xludf.DUMMYFUNCTION("""COMPUTED_VALUE"""),"HANAU Tennis de Table")</f>
        <v>HANAU Tennis de Table</v>
      </c>
      <c r="G266" s="50" t="str">
        <f ca="1">IFERROR(__xludf.DUMMYFUNCTION("""COMPUTED_VALUE"""),"CD67")</f>
        <v>CD67</v>
      </c>
      <c r="H266" s="50" t="str">
        <f ca="1">IFERROR(__xludf.DUMMYFUNCTION("""COMPUTED_VALUE"""),"actif")</f>
        <v>actif</v>
      </c>
    </row>
    <row r="267" spans="1:8" ht="12.75">
      <c r="A267" s="46">
        <f ca="1">IFERROR(__xludf.DUMMYFUNCTION("""COMPUTED_VALUE"""),255)</f>
        <v>255</v>
      </c>
      <c r="B267" s="65" t="str">
        <f ca="1">IFERROR(__xludf.DUMMYFUNCTION("""COMPUTED_VALUE"""),"5413174")</f>
        <v>5413174</v>
      </c>
      <c r="C267" s="48" t="str">
        <f ca="1">IFERROR(__xludf.DUMMYFUNCTION("""COMPUTED_VALUE"""),"MONTAGNESE")</f>
        <v>MONTAGNESE</v>
      </c>
      <c r="D267" s="48" t="str">
        <f ca="1">IFERROR(__xludf.DUMMYFUNCTION("""COMPUTED_VALUE"""),"Stephan")</f>
        <v>Stephan</v>
      </c>
      <c r="E267" s="49" t="str">
        <f ca="1">IFERROR(__xludf.DUMMYFUNCTION("""COMPUTED_VALUE"""),"06510054")</f>
        <v>06510054</v>
      </c>
      <c r="F267" s="48" t="str">
        <f ca="1">IFERROR(__xludf.DUMMYFUNCTION("""COMPUTED_VALUE"""),"COMPERTRIX FTT")</f>
        <v>COMPERTRIX FTT</v>
      </c>
      <c r="G267" s="50" t="str">
        <f ca="1">IFERROR(__xludf.DUMMYFUNCTION("""COMPUTED_VALUE"""),"CD51")</f>
        <v>CD51</v>
      </c>
      <c r="H267" s="50" t="str">
        <f ca="1">IFERROR(__xludf.DUMMYFUNCTION("""COMPUTED_VALUE"""),"inactivité 2ème année")</f>
        <v>inactivité 2ème année</v>
      </c>
    </row>
    <row r="268" spans="1:8" ht="12.75">
      <c r="A268" s="46">
        <f ca="1">IFERROR(__xludf.DUMMYFUNCTION("""COMPUTED_VALUE"""),256)</f>
        <v>256</v>
      </c>
      <c r="B268" s="65" t="str">
        <f ca="1">IFERROR(__xludf.DUMMYFUNCTION("""COMPUTED_VALUE"""),"88686")</f>
        <v>88686</v>
      </c>
      <c r="C268" s="48" t="str">
        <f ca="1">IFERROR(__xludf.DUMMYFUNCTION("""COMPUTED_VALUE"""),"MONTRELAY")</f>
        <v>MONTRELAY</v>
      </c>
      <c r="D268" s="48" t="str">
        <f ca="1">IFERROR(__xludf.DUMMYFUNCTION("""COMPUTED_VALUE"""),"Louis")</f>
        <v>Louis</v>
      </c>
      <c r="E268" s="49" t="str">
        <f ca="1">IFERROR(__xludf.DUMMYFUNCTION("""COMPUTED_VALUE"""),"06880051")</f>
        <v>06880051</v>
      </c>
      <c r="F268" s="48" t="str">
        <f ca="1">IFERROR(__xludf.DUMMYFUNCTION("""COMPUTED_VALUE"""),"Raquette Golbéenne")</f>
        <v>Raquette Golbéenne</v>
      </c>
      <c r="G268" s="50" t="str">
        <f ca="1">IFERROR(__xludf.DUMMYFUNCTION("""COMPUTED_VALUE"""),"CD88")</f>
        <v>CD88</v>
      </c>
      <c r="H268" s="50" t="str">
        <f ca="1">IFERROR(__xludf.DUMMYFUNCTION("""COMPUTED_VALUE"""),"inactivité 3ème année")</f>
        <v>inactivité 3ème année</v>
      </c>
    </row>
    <row r="269" spans="1:8" ht="12.75">
      <c r="A269" s="46">
        <f ca="1">IFERROR(__xludf.DUMMYFUNCTION("""COMPUTED_VALUE"""),257)</f>
        <v>257</v>
      </c>
      <c r="B269" s="65" t="str">
        <f ca="1">IFERROR(__xludf.DUMMYFUNCTION("""COMPUTED_VALUE"""),"08246")</f>
        <v>08246</v>
      </c>
      <c r="C269" s="48" t="str">
        <f ca="1">IFERROR(__xludf.DUMMYFUNCTION("""COMPUTED_VALUE"""),"MORANT")</f>
        <v>MORANT</v>
      </c>
      <c r="D269" s="48" t="str">
        <f ca="1">IFERROR(__xludf.DUMMYFUNCTION("""COMPUTED_VALUE"""),"Jacky")</f>
        <v>Jacky</v>
      </c>
      <c r="E269" s="49" t="str">
        <f ca="1">IFERROR(__xludf.DUMMYFUNCTION("""COMPUTED_VALUE"""),"06080047")</f>
        <v>06080047</v>
      </c>
      <c r="F269" s="48" t="str">
        <f ca="1">IFERROR(__xludf.DUMMYFUNCTION("""COMPUTED_VALUE"""),"MONTCY NOTRE DAME PPC")</f>
        <v>MONTCY NOTRE DAME PPC</v>
      </c>
      <c r="G269" s="50" t="str">
        <f ca="1">IFERROR(__xludf.DUMMYFUNCTION("""COMPUTED_VALUE"""),"CD08")</f>
        <v>CD08</v>
      </c>
      <c r="H269" s="50" t="str">
        <f ca="1">IFERROR(__xludf.DUMMYFUNCTION("""COMPUTED_VALUE"""),"inactivité 3ème année")</f>
        <v>inactivité 3ème année</v>
      </c>
    </row>
    <row r="270" spans="1:8" ht="12.75">
      <c r="A270" s="46">
        <f ca="1">IFERROR(__xludf.DUMMYFUNCTION("""COMPUTED_VALUE"""),258)</f>
        <v>258</v>
      </c>
      <c r="B270" s="65" t="str">
        <f ca="1">IFERROR(__xludf.DUMMYFUNCTION("""COMPUTED_VALUE"""),"5412941")</f>
        <v>5412941</v>
      </c>
      <c r="C270" s="48" t="str">
        <f ca="1">IFERROR(__xludf.DUMMYFUNCTION("""COMPUTED_VALUE"""),"MORIN")</f>
        <v>MORIN</v>
      </c>
      <c r="D270" s="48" t="str">
        <f ca="1">IFERROR(__xludf.DUMMYFUNCTION("""COMPUTED_VALUE"""),"Caroline")</f>
        <v>Caroline</v>
      </c>
      <c r="E270" s="49" t="str">
        <f ca="1">IFERROR(__xludf.DUMMYFUNCTION("""COMPUTED_VALUE"""),"06540001")</f>
        <v>06540001</v>
      </c>
      <c r="F270" s="48" t="str">
        <f ca="1">IFERROR(__xludf.DUMMYFUNCTION("""COMPUTED_VALUE"""),"BLAINVILLE DAMELEVIERES AC")</f>
        <v>BLAINVILLE DAMELEVIERES AC</v>
      </c>
      <c r="G270" s="50" t="str">
        <f ca="1">IFERROR(__xludf.DUMMYFUNCTION("""COMPUTED_VALUE"""),"CD54")</f>
        <v>CD54</v>
      </c>
      <c r="H270" s="50" t="str">
        <f ca="1">IFERROR(__xludf.DUMMYFUNCTION("""COMPUTED_VALUE"""),"inactivité 2ème année")</f>
        <v>inactivité 2ème année</v>
      </c>
    </row>
    <row r="271" spans="1:8" ht="12.75">
      <c r="A271" s="46">
        <f ca="1">IFERROR(__xludf.DUMMYFUNCTION("""COMPUTED_VALUE"""),259)</f>
        <v>259</v>
      </c>
      <c r="B271" s="65" t="str">
        <f ca="1">IFERROR(__xludf.DUMMYFUNCTION("""COMPUTED_VALUE"""),"685738")</f>
        <v>685738</v>
      </c>
      <c r="C271" s="48" t="str">
        <f ca="1">IFERROR(__xludf.DUMMYFUNCTION("""COMPUTED_VALUE"""),"NAST")</f>
        <v>NAST</v>
      </c>
      <c r="D271" s="48" t="str">
        <f ca="1">IFERROR(__xludf.DUMMYFUNCTION("""COMPUTED_VALUE"""),"Yves")</f>
        <v>Yves</v>
      </c>
      <c r="E271" s="49" t="str">
        <f ca="1">IFERROR(__xludf.DUMMYFUNCTION("""COMPUTED_VALUE"""),"06680116")</f>
        <v>06680116</v>
      </c>
      <c r="F271" s="48" t="str">
        <f ca="1">IFERROR(__xludf.DUMMYFUNCTION("""COMPUTED_VALUE"""),"WINTZFELDEN TT")</f>
        <v>WINTZFELDEN TT</v>
      </c>
      <c r="G271" s="50" t="str">
        <f ca="1">IFERROR(__xludf.DUMMYFUNCTION("""COMPUTED_VALUE"""),"CD68")</f>
        <v>CD68</v>
      </c>
      <c r="H271" s="50" t="str">
        <f ca="1">IFERROR(__xludf.DUMMYFUNCTION("""COMPUTED_VALUE"""),"inactivité 2ème année")</f>
        <v>inactivité 2ème année</v>
      </c>
    </row>
    <row r="272" spans="1:8" ht="12.75">
      <c r="A272" s="46">
        <f ca="1">IFERROR(__xludf.DUMMYFUNCTION("""COMPUTED_VALUE"""),260)</f>
        <v>260</v>
      </c>
      <c r="B272" s="65" t="str">
        <f ca="1">IFERROR(__xludf.DUMMYFUNCTION("""COMPUTED_VALUE"""),"545066")</f>
        <v>545066</v>
      </c>
      <c r="C272" s="48" t="str">
        <f ca="1">IFERROR(__xludf.DUMMYFUNCTION("""COMPUTED_VALUE"""),"NAUDIN")</f>
        <v>NAUDIN</v>
      </c>
      <c r="D272" s="48" t="str">
        <f ca="1">IFERROR(__xludf.DUMMYFUNCTION("""COMPUTED_VALUE"""),"Christophe")</f>
        <v>Christophe</v>
      </c>
      <c r="E272" s="49" t="str">
        <f ca="1">IFERROR(__xludf.DUMMYFUNCTION("""COMPUTED_VALUE"""),"06540088")</f>
        <v>06540088</v>
      </c>
      <c r="F272" s="48" t="str">
        <f ca="1">IFERROR(__xludf.DUMMYFUNCTION("""COMPUTED_VALUE"""),"CHANTEHEUX TT")</f>
        <v>CHANTEHEUX TT</v>
      </c>
      <c r="G272" s="50" t="str">
        <f ca="1">IFERROR(__xludf.DUMMYFUNCTION("""COMPUTED_VALUE"""),"CD54")</f>
        <v>CD54</v>
      </c>
      <c r="H272" s="50" t="str">
        <f ca="1">IFERROR(__xludf.DUMMYFUNCTION("""COMPUTED_VALUE"""),"inactivité 1ère année")</f>
        <v>inactivité 1ère année</v>
      </c>
    </row>
    <row r="273" spans="1:8" ht="12.75">
      <c r="A273" s="46">
        <f ca="1">IFERROR(__xludf.DUMMYFUNCTION("""COMPUTED_VALUE"""),261)</f>
        <v>261</v>
      </c>
      <c r="B273" s="65" t="str">
        <f ca="1">IFERROR(__xludf.DUMMYFUNCTION("""COMPUTED_VALUE"""),"681127")</f>
        <v>681127</v>
      </c>
      <c r="C273" s="48" t="str">
        <f ca="1">IFERROR(__xludf.DUMMYFUNCTION("""COMPUTED_VALUE"""),"NAUDIN")</f>
        <v>NAUDIN</v>
      </c>
      <c r="D273" s="48" t="str">
        <f ca="1">IFERROR(__xludf.DUMMYFUNCTION("""COMPUTED_VALUE"""),"Bertrand")</f>
        <v>Bertrand</v>
      </c>
      <c r="E273" s="49" t="str">
        <f ca="1">IFERROR(__xludf.DUMMYFUNCTION("""COMPUTED_VALUE"""),"06680118")</f>
        <v>06680118</v>
      </c>
      <c r="F273" s="48" t="str">
        <f ca="1">IFERROR(__xludf.DUMMYFUNCTION("""COMPUTED_VALUE"""),"WITTELSHEIM MDPA TT")</f>
        <v>WITTELSHEIM MDPA TT</v>
      </c>
      <c r="G273" s="50" t="str">
        <f ca="1">IFERROR(__xludf.DUMMYFUNCTION("""COMPUTED_VALUE"""),"CD68")</f>
        <v>CD68</v>
      </c>
      <c r="H273" s="50" t="str">
        <f ca="1">IFERROR(__xludf.DUMMYFUNCTION("""COMPUTED_VALUE"""),"actif")</f>
        <v>actif</v>
      </c>
    </row>
    <row r="274" spans="1:8" ht="12.75">
      <c r="A274" s="46">
        <f ca="1">IFERROR(__xludf.DUMMYFUNCTION("""COMPUTED_VALUE"""),262)</f>
        <v>262</v>
      </c>
      <c r="B274" s="65" t="str">
        <f ca="1">IFERROR(__xludf.DUMMYFUNCTION("""COMPUTED_VALUE"""),"5413857")</f>
        <v>5413857</v>
      </c>
      <c r="C274" s="48" t="str">
        <f ca="1">IFERROR(__xludf.DUMMYFUNCTION("""COMPUTED_VALUE"""),"NAUDIN")</f>
        <v>NAUDIN</v>
      </c>
      <c r="D274" s="48" t="str">
        <f ca="1">IFERROR(__xludf.DUMMYFUNCTION("""COMPUTED_VALUE"""),"Jean Pierre")</f>
        <v>Jean Pierre</v>
      </c>
      <c r="E274" s="49" t="str">
        <f ca="1">IFERROR(__xludf.DUMMYFUNCTION("""COMPUTED_VALUE"""),"06540088")</f>
        <v>06540088</v>
      </c>
      <c r="F274" s="48" t="str">
        <f ca="1">IFERROR(__xludf.DUMMYFUNCTION("""COMPUTED_VALUE"""),"CHANTEHEUX TT")</f>
        <v>CHANTEHEUX TT</v>
      </c>
      <c r="G274" s="50" t="str">
        <f ca="1">IFERROR(__xludf.DUMMYFUNCTION("""COMPUTED_VALUE"""),"CD54")</f>
        <v>CD54</v>
      </c>
      <c r="H274" s="50" t="str">
        <f ca="1">IFERROR(__xludf.DUMMYFUNCTION("""COMPUTED_VALUE"""),"actif")</f>
        <v>actif</v>
      </c>
    </row>
    <row r="275" spans="1:8" ht="12.75">
      <c r="A275" s="46">
        <f ca="1">IFERROR(__xludf.DUMMYFUNCTION("""COMPUTED_VALUE"""),263)</f>
        <v>263</v>
      </c>
      <c r="B275" s="65" t="str">
        <f ca="1">IFERROR(__xludf.DUMMYFUNCTION("""COMPUTED_VALUE"""),"8811147")</f>
        <v>8811147</v>
      </c>
      <c r="C275" s="48" t="str">
        <f ca="1">IFERROR(__xludf.DUMMYFUNCTION("""COMPUTED_VALUE"""),"NICOLAS")</f>
        <v>NICOLAS</v>
      </c>
      <c r="D275" s="48" t="str">
        <f ca="1">IFERROR(__xludf.DUMMYFUNCTION("""COMPUTED_VALUE"""),"Remi")</f>
        <v>Remi</v>
      </c>
      <c r="E275" s="49" t="str">
        <f ca="1">IFERROR(__xludf.DUMMYFUNCTION("""COMPUTED_VALUE"""),"06880071")</f>
        <v>06880071</v>
      </c>
      <c r="F275" s="48" t="str">
        <f ca="1">IFERROR(__xludf.DUMMYFUNCTION("""COMPUTED_VALUE"""),"EPINAL T.S.P.")</f>
        <v>EPINAL T.S.P.</v>
      </c>
      <c r="G275" s="50" t="str">
        <f ca="1">IFERROR(__xludf.DUMMYFUNCTION("""COMPUTED_VALUE"""),"CD88")</f>
        <v>CD88</v>
      </c>
      <c r="H275" s="50" t="str">
        <f ca="1">IFERROR(__xludf.DUMMYFUNCTION("""COMPUTED_VALUE"""),"inactivité 2ème année")</f>
        <v>inactivité 2ème année</v>
      </c>
    </row>
    <row r="276" spans="1:8" ht="12.75">
      <c r="A276" s="46">
        <f ca="1">IFERROR(__xludf.DUMMYFUNCTION("""COMPUTED_VALUE"""),264)</f>
        <v>264</v>
      </c>
      <c r="B276" s="65" t="str">
        <f ca="1">IFERROR(__xludf.DUMMYFUNCTION("""COMPUTED_VALUE"""),"0814286")</f>
        <v>0814286</v>
      </c>
      <c r="C276" s="48" t="str">
        <f ca="1">IFERROR(__xludf.DUMMYFUNCTION("""COMPUTED_VALUE"""),"NORMAND")</f>
        <v>NORMAND</v>
      </c>
      <c r="D276" s="48" t="str">
        <f ca="1">IFERROR(__xludf.DUMMYFUNCTION("""COMPUTED_VALUE"""),"Audrey")</f>
        <v>Audrey</v>
      </c>
      <c r="E276" s="49" t="str">
        <f ca="1">IFERROR(__xludf.DUMMYFUNCTION("""COMPUTED_VALUE"""),"06080013")</f>
        <v>06080013</v>
      </c>
      <c r="F276" s="48" t="str">
        <f ca="1">IFERROR(__xludf.DUMMYFUNCTION("""COMPUTED_VALUE"""),"TAGNON PPC")</f>
        <v>TAGNON PPC</v>
      </c>
      <c r="G276" s="50" t="str">
        <f ca="1">IFERROR(__xludf.DUMMYFUNCTION("""COMPUTED_VALUE"""),"CD08")</f>
        <v>CD08</v>
      </c>
      <c r="H276" s="50" t="str">
        <f ca="1">IFERROR(__xludf.DUMMYFUNCTION("""COMPUTED_VALUE"""),"inactivité 2ème année")</f>
        <v>inactivité 2ème année</v>
      </c>
    </row>
    <row r="277" spans="1:8" ht="12.75">
      <c r="A277" s="46">
        <f ca="1">IFERROR(__xludf.DUMMYFUNCTION("""COMPUTED_VALUE"""),265)</f>
        <v>265</v>
      </c>
      <c r="B277" s="65" t="str">
        <f ca="1">IFERROR(__xludf.DUMMYFUNCTION("""COMPUTED_VALUE"""),"674514")</f>
        <v>674514</v>
      </c>
      <c r="C277" s="48" t="str">
        <f ca="1">IFERROR(__xludf.DUMMYFUNCTION("""COMPUTED_VALUE"""),"OFFNER")</f>
        <v>OFFNER</v>
      </c>
      <c r="D277" s="48" t="str">
        <f ca="1">IFERROR(__xludf.DUMMYFUNCTION("""COMPUTED_VALUE"""),"Sebastien")</f>
        <v>Sebastien</v>
      </c>
      <c r="E277" s="49" t="str">
        <f ca="1">IFERROR(__xludf.DUMMYFUNCTION("""COMPUTED_VALUE"""),"06670221")</f>
        <v>06670221</v>
      </c>
      <c r="F277" s="48" t="str">
        <f ca="1">IFERROR(__xludf.DUMMYFUNCTION("""COMPUTED_VALUE"""),"BARR Tennis de Table")</f>
        <v>BARR Tennis de Table</v>
      </c>
      <c r="G277" s="50" t="str">
        <f ca="1">IFERROR(__xludf.DUMMYFUNCTION("""COMPUTED_VALUE"""),"CD67")</f>
        <v>CD67</v>
      </c>
      <c r="H277" s="50" t="str">
        <f ca="1">IFERROR(__xludf.DUMMYFUNCTION("""COMPUTED_VALUE"""),"inactivité 3ème année")</f>
        <v>inactivité 3ème année</v>
      </c>
    </row>
    <row r="278" spans="1:8" ht="12.75">
      <c r="A278" s="46">
        <f ca="1">IFERROR(__xludf.DUMMYFUNCTION("""COMPUTED_VALUE"""),266)</f>
        <v>266</v>
      </c>
      <c r="B278" s="65" t="str">
        <f ca="1">IFERROR(__xludf.DUMMYFUNCTION("""COMPUTED_VALUE"""),"514856")</f>
        <v>514856</v>
      </c>
      <c r="C278" s="48" t="str">
        <f ca="1">IFERROR(__xludf.DUMMYFUNCTION("""COMPUTED_VALUE"""),"OLLIVIER")</f>
        <v>OLLIVIER</v>
      </c>
      <c r="D278" s="48" t="str">
        <f ca="1">IFERROR(__xludf.DUMMYFUNCTION("""COMPUTED_VALUE"""),"Alain Lucien")</f>
        <v>Alain Lucien</v>
      </c>
      <c r="E278" s="49" t="str">
        <f ca="1">IFERROR(__xludf.DUMMYFUNCTION("""COMPUTED_VALUE"""),"06510071")</f>
        <v>06510071</v>
      </c>
      <c r="F278" s="48" t="str">
        <f ca="1">IFERROR(__xludf.DUMMYFUNCTION("""COMPUTED_VALUE"""),"FRIGNICOURT PING PONG CLUB")</f>
        <v>FRIGNICOURT PING PONG CLUB</v>
      </c>
      <c r="G278" s="50" t="str">
        <f ca="1">IFERROR(__xludf.DUMMYFUNCTION("""COMPUTED_VALUE"""),"CD51")</f>
        <v>CD51</v>
      </c>
      <c r="H278" s="50" t="str">
        <f ca="1">IFERROR(__xludf.DUMMYFUNCTION("""COMPUTED_VALUE"""),"inactivité 2ème année")</f>
        <v>inactivité 2ème année</v>
      </c>
    </row>
    <row r="279" spans="1:8" ht="12.75">
      <c r="A279" s="46">
        <f ca="1">IFERROR(__xludf.DUMMYFUNCTION("""COMPUTED_VALUE"""),267)</f>
        <v>267</v>
      </c>
      <c r="B279" s="65" t="str">
        <f ca="1">IFERROR(__xludf.DUMMYFUNCTION("""COMPUTED_VALUE"""),"67395")</f>
        <v>67395</v>
      </c>
      <c r="C279" s="48" t="str">
        <f ca="1">IFERROR(__xludf.DUMMYFUNCTION("""COMPUTED_VALUE"""),"OPPEL")</f>
        <v>OPPEL</v>
      </c>
      <c r="D279" s="48" t="str">
        <f ca="1">IFERROR(__xludf.DUMMYFUNCTION("""COMPUTED_VALUE"""),"Claude")</f>
        <v>Claude</v>
      </c>
      <c r="E279" s="49" t="str">
        <f ca="1">IFERROR(__xludf.DUMMYFUNCTION("""COMPUTED_VALUE"""),"06670010")</f>
        <v>06670010</v>
      </c>
      <c r="F279" s="48" t="str">
        <f ca="1">IFERROR(__xludf.DUMMYFUNCTION("""COMPUTED_VALUE"""),"SCHILTIGHEIM SU TT")</f>
        <v>SCHILTIGHEIM SU TT</v>
      </c>
      <c r="G279" s="50" t="str">
        <f ca="1">IFERROR(__xludf.DUMMYFUNCTION("""COMPUTED_VALUE"""),"CD67")</f>
        <v>CD67</v>
      </c>
      <c r="H279" s="50" t="str">
        <f ca="1">IFERROR(__xludf.DUMMYFUNCTION("""COMPUTED_VALUE"""),"inactivité 2ème année")</f>
        <v>inactivité 2ème année</v>
      </c>
    </row>
    <row r="280" spans="1:8" ht="12.75">
      <c r="A280" s="46">
        <f ca="1">IFERROR(__xludf.DUMMYFUNCTION("""COMPUTED_VALUE"""),268)</f>
        <v>268</v>
      </c>
      <c r="B280" s="65" t="str">
        <f ca="1">IFERROR(__xludf.DUMMYFUNCTION("""COMPUTED_VALUE"""),"68229")</f>
        <v>68229</v>
      </c>
      <c r="C280" s="48" t="str">
        <f ca="1">IFERROR(__xludf.DUMMYFUNCTION("""COMPUTED_VALUE"""),"OSER")</f>
        <v>OSER</v>
      </c>
      <c r="D280" s="48" t="str">
        <f ca="1">IFERROR(__xludf.DUMMYFUNCTION("""COMPUTED_VALUE"""),"Regine")</f>
        <v>Regine</v>
      </c>
      <c r="E280" s="49" t="str">
        <f ca="1">IFERROR(__xludf.DUMMYFUNCTION("""COMPUTED_VALUE"""),"06680105")</f>
        <v>06680105</v>
      </c>
      <c r="F280" s="48" t="str">
        <f ca="1">IFERROR(__xludf.DUMMYFUNCTION("""COMPUTED_VALUE"""),"MULHOUSE TENNIS DE TABLE")</f>
        <v>MULHOUSE TENNIS DE TABLE</v>
      </c>
      <c r="G280" s="50" t="str">
        <f ca="1">IFERROR(__xludf.DUMMYFUNCTION("""COMPUTED_VALUE"""),"CD68")</f>
        <v>CD68</v>
      </c>
      <c r="H280" s="50" t="str">
        <f ca="1">IFERROR(__xludf.DUMMYFUNCTION("""COMPUTED_VALUE"""),"inactivité 1ère année")</f>
        <v>inactivité 1ère année</v>
      </c>
    </row>
    <row r="281" spans="1:8" ht="12.75">
      <c r="A281" s="46">
        <f ca="1">IFERROR(__xludf.DUMMYFUNCTION("""COMPUTED_VALUE"""),269)</f>
        <v>269</v>
      </c>
      <c r="B281" s="65" t="str">
        <f ca="1">IFERROR(__xludf.DUMMYFUNCTION("""COMPUTED_VALUE"""),"67245")</f>
        <v>67245</v>
      </c>
      <c r="C281" s="48" t="str">
        <f ca="1">IFERROR(__xludf.DUMMYFUNCTION("""COMPUTED_VALUE"""),"OTT")</f>
        <v>OTT</v>
      </c>
      <c r="D281" s="48" t="str">
        <f ca="1">IFERROR(__xludf.DUMMYFUNCTION("""COMPUTED_VALUE"""),"Remy")</f>
        <v>Remy</v>
      </c>
      <c r="E281" s="49" t="str">
        <f ca="1">IFERROR(__xludf.DUMMYFUNCTION("""COMPUTED_VALUE"""),"06670272")</f>
        <v>06670272</v>
      </c>
      <c r="F281" s="48" t="str">
        <f ca="1">IFERROR(__xludf.DUMMYFUNCTION("""COMPUTED_VALUE"""),"SCHILTIGHEIM Tennis de Table")</f>
        <v>SCHILTIGHEIM Tennis de Table</v>
      </c>
      <c r="G281" s="50" t="str">
        <f ca="1">IFERROR(__xludf.DUMMYFUNCTION("""COMPUTED_VALUE"""),"CD67")</f>
        <v>CD67</v>
      </c>
      <c r="H281" s="50" t="str">
        <f ca="1">IFERROR(__xludf.DUMMYFUNCTION("""COMPUTED_VALUE"""),"inactivité 3ème année")</f>
        <v>inactivité 3ème année</v>
      </c>
    </row>
    <row r="282" spans="1:8" ht="12.75">
      <c r="A282" s="46">
        <f ca="1">IFERROR(__xludf.DUMMYFUNCTION("""COMPUTED_VALUE"""),270)</f>
        <v>270</v>
      </c>
      <c r="B282" s="65" t="str">
        <f ca="1">IFERROR(__xludf.DUMMYFUNCTION("""COMPUTED_VALUE"""),"579414")</f>
        <v>579414</v>
      </c>
      <c r="C282" s="48" t="str">
        <f ca="1">IFERROR(__xludf.DUMMYFUNCTION("""COMPUTED_VALUE"""),"OUANNOUGHI")</f>
        <v>OUANNOUGHI</v>
      </c>
      <c r="D282" s="48" t="str">
        <f ca="1">IFERROR(__xludf.DUMMYFUNCTION("""COMPUTED_VALUE"""),"Hakim")</f>
        <v>Hakim</v>
      </c>
      <c r="E282" s="49" t="str">
        <f ca="1">IFERROR(__xludf.DUMMYFUNCTION("""COMPUTED_VALUE"""),"06570075")</f>
        <v>06570075</v>
      </c>
      <c r="F282" s="48" t="str">
        <f ca="1">IFERROR(__xludf.DUMMYFUNCTION("""COMPUTED_VALUE"""),"ILLANGE USTT")</f>
        <v>ILLANGE USTT</v>
      </c>
      <c r="G282" s="50" t="str">
        <f ca="1">IFERROR(__xludf.DUMMYFUNCTION("""COMPUTED_VALUE"""),"CD57")</f>
        <v>CD57</v>
      </c>
      <c r="H282" s="50" t="str">
        <f ca="1">IFERROR(__xludf.DUMMYFUNCTION("""COMPUTED_VALUE"""),"inactivité 1ère année")</f>
        <v>inactivité 1ère année</v>
      </c>
    </row>
    <row r="283" spans="1:8" ht="12.75">
      <c r="A283" s="46">
        <f ca="1">IFERROR(__xludf.DUMMYFUNCTION("""COMPUTED_VALUE"""),271)</f>
        <v>271</v>
      </c>
      <c r="B283" s="65" t="str">
        <f ca="1">IFERROR(__xludf.DUMMYFUNCTION("""COMPUTED_VALUE"""),"6814571")</f>
        <v>6814571</v>
      </c>
      <c r="C283" s="48" t="str">
        <f ca="1">IFERROR(__xludf.DUMMYFUNCTION("""COMPUTED_VALUE"""),"OUARRAK")</f>
        <v>OUARRAK</v>
      </c>
      <c r="D283" s="48" t="str">
        <f ca="1">IFERROR(__xludf.DUMMYFUNCTION("""COMPUTED_VALUE"""),"Badr")</f>
        <v>Badr</v>
      </c>
      <c r="E283" s="49" t="str">
        <f ca="1">IFERROR(__xludf.DUMMYFUNCTION("""COMPUTED_VALUE"""),"06680091")</f>
        <v>06680091</v>
      </c>
      <c r="F283" s="48" t="str">
        <f ca="1">IFERROR(__xludf.DUMMYFUNCTION("""COMPUTED_VALUE"""),"ILLZACH TTSJB")</f>
        <v>ILLZACH TTSJB</v>
      </c>
      <c r="G283" s="50" t="str">
        <f ca="1">IFERROR(__xludf.DUMMYFUNCTION("""COMPUTED_VALUE"""),"CD68")</f>
        <v>CD68</v>
      </c>
      <c r="H283" s="50" t="str">
        <f ca="1">IFERROR(__xludf.DUMMYFUNCTION("""COMPUTED_VALUE"""),"inactivité 3ème année")</f>
        <v>inactivité 3ème année</v>
      </c>
    </row>
    <row r="284" spans="1:8" ht="12.75">
      <c r="A284" s="46">
        <f ca="1">IFERROR(__xludf.DUMMYFUNCTION("""COMPUTED_VALUE"""),272)</f>
        <v>272</v>
      </c>
      <c r="B284" s="65" t="str">
        <f ca="1">IFERROR(__xludf.DUMMYFUNCTION("""COMPUTED_VALUE"""),"557343")</f>
        <v>557343</v>
      </c>
      <c r="C284" s="48" t="str">
        <f ca="1">IFERROR(__xludf.DUMMYFUNCTION("""COMPUTED_VALUE"""),"OUDET")</f>
        <v>OUDET</v>
      </c>
      <c r="D284" s="48" t="str">
        <f ca="1">IFERROR(__xludf.DUMMYFUNCTION("""COMPUTED_VALUE"""),"Raphael")</f>
        <v>Raphael</v>
      </c>
      <c r="E284" s="49" t="str">
        <f ca="1">IFERROR(__xludf.DUMMYFUNCTION("""COMPUTED_VALUE"""),"06550005")</f>
        <v>06550005</v>
      </c>
      <c r="F284" s="48" t="str">
        <f ca="1">IFERROR(__xludf.DUMMYFUNCTION("""COMPUTED_VALUE"""),"SAINT MIHIEL P.P.C.")</f>
        <v>SAINT MIHIEL P.P.C.</v>
      </c>
      <c r="G284" s="50" t="str">
        <f ca="1">IFERROR(__xludf.DUMMYFUNCTION("""COMPUTED_VALUE"""),"CD55")</f>
        <v>CD55</v>
      </c>
      <c r="H284" s="50" t="str">
        <f ca="1">IFERROR(__xludf.DUMMYFUNCTION("""COMPUTED_VALUE"""),"inactivité 3ème année")</f>
        <v>inactivité 3ème année</v>
      </c>
    </row>
    <row r="285" spans="1:8" ht="12.75">
      <c r="A285" s="46">
        <f ca="1">IFERROR(__xludf.DUMMYFUNCTION("""COMPUTED_VALUE"""),273)</f>
        <v>273</v>
      </c>
      <c r="B285" s="65" t="str">
        <f ca="1">IFERROR(__xludf.DUMMYFUNCTION("""COMPUTED_VALUE"""),"2510648")</f>
        <v>2510648</v>
      </c>
      <c r="C285" s="48" t="str">
        <f ca="1">IFERROR(__xludf.DUMMYFUNCTION("""COMPUTED_VALUE"""),"PAGNOT")</f>
        <v>PAGNOT</v>
      </c>
      <c r="D285" s="48" t="str">
        <f ca="1">IFERROR(__xludf.DUMMYFUNCTION("""COMPUTED_VALUE"""),"Sebastien")</f>
        <v>Sebastien</v>
      </c>
      <c r="E285" s="49" t="str">
        <f ca="1">IFERROR(__xludf.DUMMYFUNCTION("""COMPUTED_VALUE"""),"06880145")</f>
        <v>06880145</v>
      </c>
      <c r="F285" s="48" t="str">
        <f ca="1">IFERROR(__xludf.DUMMYFUNCTION("""COMPUTED_VALUE"""),"THAON CHENIMENIL E.S.T.T.")</f>
        <v>THAON CHENIMENIL E.S.T.T.</v>
      </c>
      <c r="G285" s="50" t="str">
        <f ca="1">IFERROR(__xludf.DUMMYFUNCTION("""COMPUTED_VALUE"""),"CD88")</f>
        <v>CD88</v>
      </c>
      <c r="H285" s="50" t="str">
        <f ca="1">IFERROR(__xludf.DUMMYFUNCTION("""COMPUTED_VALUE"""),"inactivité 1ère année")</f>
        <v>inactivité 1ère année</v>
      </c>
    </row>
    <row r="286" spans="1:8" ht="12.75">
      <c r="A286" s="46">
        <f ca="1">IFERROR(__xludf.DUMMYFUNCTION("""COMPUTED_VALUE"""),274)</f>
        <v>274</v>
      </c>
      <c r="B286" s="65" t="str">
        <f ca="1">IFERROR(__xludf.DUMMYFUNCTION("""COMPUTED_VALUE"""),"5715048")</f>
        <v>5715048</v>
      </c>
      <c r="C286" s="48" t="str">
        <f ca="1">IFERROR(__xludf.DUMMYFUNCTION("""COMPUTED_VALUE"""),"PALOMBO")</f>
        <v>PALOMBO</v>
      </c>
      <c r="D286" s="48" t="str">
        <f ca="1">IFERROR(__xludf.DUMMYFUNCTION("""COMPUTED_VALUE"""),"Jean Pierre")</f>
        <v>Jean Pierre</v>
      </c>
      <c r="E286" s="49" t="str">
        <f ca="1">IFERROR(__xludf.DUMMYFUNCTION("""COMPUTED_VALUE"""),"06570180")</f>
        <v>06570180</v>
      </c>
      <c r="F286" s="48" t="str">
        <f ca="1">IFERROR(__xludf.DUMMYFUNCTION("""COMPUTED_VALUE"""),"BEHREN LES FORBACH TT")</f>
        <v>BEHREN LES FORBACH TT</v>
      </c>
      <c r="G286" s="50" t="str">
        <f ca="1">IFERROR(__xludf.DUMMYFUNCTION("""COMPUTED_VALUE"""),"CD57")</f>
        <v>CD57</v>
      </c>
      <c r="H286" s="50" t="str">
        <f ca="1">IFERROR(__xludf.DUMMYFUNCTION("""COMPUTED_VALUE"""),"inactivité 1ère année")</f>
        <v>inactivité 1ère année</v>
      </c>
    </row>
    <row r="287" spans="1:8" ht="12.75">
      <c r="A287" s="46">
        <f ca="1">IFERROR(__xludf.DUMMYFUNCTION("""COMPUTED_VALUE"""),275)</f>
        <v>275</v>
      </c>
      <c r="B287" s="65" t="str">
        <f ca="1">IFERROR(__xludf.DUMMYFUNCTION("""COMPUTED_VALUE"""),"881857")</f>
        <v>881857</v>
      </c>
      <c r="C287" s="48" t="str">
        <f ca="1">IFERROR(__xludf.DUMMYFUNCTION("""COMPUTED_VALUE"""),"PARIS")</f>
        <v>PARIS</v>
      </c>
      <c r="D287" s="48" t="str">
        <f ca="1">IFERROR(__xludf.DUMMYFUNCTION("""COMPUTED_VALUE"""),"Benoit")</f>
        <v>Benoit</v>
      </c>
      <c r="E287" s="49" t="str">
        <f ca="1">IFERROR(__xludf.DUMMYFUNCTION("""COMPUTED_VALUE"""),"06880051")</f>
        <v>06880051</v>
      </c>
      <c r="F287" s="48" t="str">
        <f ca="1">IFERROR(__xludf.DUMMYFUNCTION("""COMPUTED_VALUE"""),"Raquette Golbéenne")</f>
        <v>Raquette Golbéenne</v>
      </c>
      <c r="G287" s="50" t="str">
        <f ca="1">IFERROR(__xludf.DUMMYFUNCTION("""COMPUTED_VALUE"""),"CD88")</f>
        <v>CD88</v>
      </c>
      <c r="H287" s="50" t="str">
        <f ca="1">IFERROR(__xludf.DUMMYFUNCTION("""COMPUTED_VALUE"""),"inactivité 2ème année")</f>
        <v>inactivité 2ème année</v>
      </c>
    </row>
    <row r="288" spans="1:8" ht="12.75">
      <c r="A288" s="46">
        <f ca="1">IFERROR(__xludf.DUMMYFUNCTION("""COMPUTED_VALUE"""),276)</f>
        <v>276</v>
      </c>
      <c r="B288" s="65" t="str">
        <f ca="1">IFERROR(__xludf.DUMMYFUNCTION("""COMPUTED_VALUE"""),"9314122")</f>
        <v>9314122</v>
      </c>
      <c r="C288" s="48" t="str">
        <f ca="1">IFERROR(__xludf.DUMMYFUNCTION("""COMPUTED_VALUE"""),"PECHEUX")</f>
        <v>PECHEUX</v>
      </c>
      <c r="D288" s="48" t="str">
        <f ca="1">IFERROR(__xludf.DUMMYFUNCTION("""COMPUTED_VALUE"""),"Pierrick")</f>
        <v>Pierrick</v>
      </c>
      <c r="E288" s="49" t="str">
        <f ca="1">IFERROR(__xludf.DUMMYFUNCTION("""COMPUTED_VALUE"""),"06670045")</f>
        <v>06670045</v>
      </c>
      <c r="F288" s="48" t="str">
        <f ca="1">IFERROR(__xludf.DUMMYFUNCTION("""COMPUTED_VALUE"""),"STRASBOURG RC")</f>
        <v>STRASBOURG RC</v>
      </c>
      <c r="G288" s="50" t="str">
        <f ca="1">IFERROR(__xludf.DUMMYFUNCTION("""COMPUTED_VALUE"""),"CD67")</f>
        <v>CD67</v>
      </c>
      <c r="H288" s="50" t="str">
        <f ca="1">IFERROR(__xludf.DUMMYFUNCTION("""COMPUTED_VALUE"""),"inactivité 2ème année")</f>
        <v>inactivité 2ème année</v>
      </c>
    </row>
    <row r="289" spans="1:8" ht="12.75">
      <c r="A289" s="46">
        <f ca="1">IFERROR(__xludf.DUMMYFUNCTION("""COMPUTED_VALUE"""),277)</f>
        <v>277</v>
      </c>
      <c r="B289" s="65" t="str">
        <f ca="1">IFERROR(__xludf.DUMMYFUNCTION("""COMPUTED_VALUE"""),"549813")</f>
        <v>549813</v>
      </c>
      <c r="C289" s="48" t="str">
        <f ca="1">IFERROR(__xludf.DUMMYFUNCTION("""COMPUTED_VALUE"""),"PELLENZ")</f>
        <v>PELLENZ</v>
      </c>
      <c r="D289" s="48" t="str">
        <f ca="1">IFERROR(__xludf.DUMMYFUNCTION("""COMPUTED_VALUE"""),"Sebastien")</f>
        <v>Sebastien</v>
      </c>
      <c r="E289" s="49" t="str">
        <f ca="1">IFERROR(__xludf.DUMMYFUNCTION("""COMPUTED_VALUE"""),"06540202")</f>
        <v>06540202</v>
      </c>
      <c r="F289" s="48" t="str">
        <f ca="1">IFERROR(__xludf.DUMMYFUNCTION("""COMPUTED_VALUE"""),"ATTON FR TT")</f>
        <v>ATTON FR TT</v>
      </c>
      <c r="G289" s="50" t="str">
        <f ca="1">IFERROR(__xludf.DUMMYFUNCTION("""COMPUTED_VALUE"""),"CD54")</f>
        <v>CD54</v>
      </c>
      <c r="H289" s="50" t="str">
        <f ca="1">IFERROR(__xludf.DUMMYFUNCTION("""COMPUTED_VALUE"""),"actif")</f>
        <v>actif</v>
      </c>
    </row>
    <row r="290" spans="1:8" ht="12.75">
      <c r="A290" s="46">
        <f ca="1">IFERROR(__xludf.DUMMYFUNCTION("""COMPUTED_VALUE"""),278)</f>
        <v>278</v>
      </c>
      <c r="B290" s="65" t="str">
        <f ca="1">IFERROR(__xludf.DUMMYFUNCTION("""COMPUTED_VALUE"""),"886017")</f>
        <v>886017</v>
      </c>
      <c r="C290" s="48" t="str">
        <f ca="1">IFERROR(__xludf.DUMMYFUNCTION("""COMPUTED_VALUE"""),"PERNOT")</f>
        <v>PERNOT</v>
      </c>
      <c r="D290" s="48" t="str">
        <f ca="1">IFERROR(__xludf.DUMMYFUNCTION("""COMPUTED_VALUE"""),"Julien")</f>
        <v>Julien</v>
      </c>
      <c r="E290" s="49" t="str">
        <f ca="1">IFERROR(__xludf.DUMMYFUNCTION("""COMPUTED_VALUE"""),"06880051")</f>
        <v>06880051</v>
      </c>
      <c r="F290" s="48" t="str">
        <f ca="1">IFERROR(__xludf.DUMMYFUNCTION("""COMPUTED_VALUE"""),"Raquette Golbéenne")</f>
        <v>Raquette Golbéenne</v>
      </c>
      <c r="G290" s="50" t="str">
        <f ca="1">IFERROR(__xludf.DUMMYFUNCTION("""COMPUTED_VALUE"""),"CD88")</f>
        <v>CD88</v>
      </c>
      <c r="H290" s="50" t="str">
        <f ca="1">IFERROR(__xludf.DUMMYFUNCTION("""COMPUTED_VALUE"""),"inactivité 3ème année")</f>
        <v>inactivité 3ème année</v>
      </c>
    </row>
    <row r="291" spans="1:8" ht="12.75">
      <c r="A291" s="46">
        <f ca="1">IFERROR(__xludf.DUMMYFUNCTION("""COMPUTED_VALUE"""),279)</f>
        <v>279</v>
      </c>
      <c r="B291" s="65" t="str">
        <f ca="1">IFERROR(__xludf.DUMMYFUNCTION("""COMPUTED_VALUE"""),"7715935")</f>
        <v>7715935</v>
      </c>
      <c r="C291" s="48" t="str">
        <f ca="1">IFERROR(__xludf.DUMMYFUNCTION("""COMPUTED_VALUE"""),"PERRIN")</f>
        <v>PERRIN</v>
      </c>
      <c r="D291" s="48" t="str">
        <f ca="1">IFERROR(__xludf.DUMMYFUNCTION("""COMPUTED_VALUE"""),"Frederic")</f>
        <v>Frederic</v>
      </c>
      <c r="E291" s="49" t="str">
        <f ca="1">IFERROR(__xludf.DUMMYFUNCTION("""COMPUTED_VALUE"""),"06100005")</f>
        <v>06100005</v>
      </c>
      <c r="F291" s="48" t="str">
        <f ca="1">IFERROR(__xludf.DUMMYFUNCTION("""COMPUTED_VALUE"""),"ROMILLY SPORTS 10")</f>
        <v>ROMILLY SPORTS 10</v>
      </c>
      <c r="G291" s="50" t="str">
        <f ca="1">IFERROR(__xludf.DUMMYFUNCTION("""COMPUTED_VALUE"""),"CD10")</f>
        <v>CD10</v>
      </c>
      <c r="H291" s="50" t="str">
        <f ca="1">IFERROR(__xludf.DUMMYFUNCTION("""COMPUTED_VALUE"""),"inactivité 3ème année")</f>
        <v>inactivité 3ème année</v>
      </c>
    </row>
    <row r="292" spans="1:8" ht="12.75">
      <c r="A292" s="46">
        <f ca="1">IFERROR(__xludf.DUMMYFUNCTION("""COMPUTED_VALUE"""),280)</f>
        <v>280</v>
      </c>
      <c r="B292" s="65" t="str">
        <f ca="1">IFERROR(__xludf.DUMMYFUNCTION("""COMPUTED_VALUE"""),"082888")</f>
        <v>082888</v>
      </c>
      <c r="C292" s="48" t="str">
        <f ca="1">IFERROR(__xludf.DUMMYFUNCTION("""COMPUTED_VALUE"""),"PETIT")</f>
        <v>PETIT</v>
      </c>
      <c r="D292" s="48" t="str">
        <f ca="1">IFERROR(__xludf.DUMMYFUNCTION("""COMPUTED_VALUE"""),"Franck")</f>
        <v>Franck</v>
      </c>
      <c r="E292" s="49" t="str">
        <f ca="1">IFERROR(__xludf.DUMMYFUNCTION("""COMPUTED_VALUE"""),"06080035")</f>
        <v>06080035</v>
      </c>
      <c r="F292" s="48" t="str">
        <f ca="1">IFERROR(__xludf.DUMMYFUNCTION("""COMPUTED_VALUE"""),"CHARLEVILLE MEZIERES ARDENNES TT")</f>
        <v>CHARLEVILLE MEZIERES ARDENNES TT</v>
      </c>
      <c r="G292" s="50" t="str">
        <f ca="1">IFERROR(__xludf.DUMMYFUNCTION("""COMPUTED_VALUE"""),"CD08")</f>
        <v>CD08</v>
      </c>
      <c r="H292" s="50" t="str">
        <f ca="1">IFERROR(__xludf.DUMMYFUNCTION("""COMPUTED_VALUE"""),"inactivité 3ème année")</f>
        <v>inactivité 3ème année</v>
      </c>
    </row>
    <row r="293" spans="1:8" ht="12.75">
      <c r="A293" s="46">
        <f ca="1">IFERROR(__xludf.DUMMYFUNCTION("""COMPUTED_VALUE"""),281)</f>
        <v>281</v>
      </c>
      <c r="B293" s="65" t="str">
        <f ca="1">IFERROR(__xludf.DUMMYFUNCTION("""COMPUTED_VALUE"""),"88384")</f>
        <v>88384</v>
      </c>
      <c r="C293" s="48" t="str">
        <f ca="1">IFERROR(__xludf.DUMMYFUNCTION("""COMPUTED_VALUE"""),"PETIT")</f>
        <v>PETIT</v>
      </c>
      <c r="D293" s="48" t="str">
        <f ca="1">IFERROR(__xludf.DUMMYFUNCTION("""COMPUTED_VALUE"""),"Jean")</f>
        <v>Jean</v>
      </c>
      <c r="E293" s="49" t="str">
        <f ca="1">IFERROR(__xludf.DUMMYFUNCTION("""COMPUTED_VALUE"""),"06880022")</f>
        <v>06880022</v>
      </c>
      <c r="F293" s="48" t="str">
        <f ca="1">IFERROR(__xludf.DUMMYFUNCTION("""COMPUTED_VALUE"""),"VITTEL SAINT REMY TT")</f>
        <v>VITTEL SAINT REMY TT</v>
      </c>
      <c r="G293" s="50" t="str">
        <f ca="1">IFERROR(__xludf.DUMMYFUNCTION("""COMPUTED_VALUE"""),"CD88")</f>
        <v>CD88</v>
      </c>
      <c r="H293" s="50" t="str">
        <f ca="1">IFERROR(__xludf.DUMMYFUNCTION("""COMPUTED_VALUE"""),"inactivité 1ère année")</f>
        <v>inactivité 1ère année</v>
      </c>
    </row>
    <row r="294" spans="1:8" ht="12.75">
      <c r="A294" s="46">
        <f ca="1">IFERROR(__xludf.DUMMYFUNCTION("""COMPUTED_VALUE"""),282)</f>
        <v>282</v>
      </c>
      <c r="B294" s="65" t="str">
        <f ca="1">IFERROR(__xludf.DUMMYFUNCTION("""COMPUTED_VALUE"""),"679657")</f>
        <v>679657</v>
      </c>
      <c r="C294" s="48" t="str">
        <f ca="1">IFERROR(__xludf.DUMMYFUNCTION("""COMPUTED_VALUE"""),"PFEIFFER")</f>
        <v>PFEIFFER</v>
      </c>
      <c r="D294" s="48" t="str">
        <f ca="1">IFERROR(__xludf.DUMMYFUNCTION("""COMPUTED_VALUE"""),"Robert")</f>
        <v>Robert</v>
      </c>
      <c r="E294" s="49" t="str">
        <f ca="1">IFERROR(__xludf.DUMMYFUNCTION("""COMPUTED_VALUE"""),"06670279")</f>
        <v>06670279</v>
      </c>
      <c r="F294" s="48" t="str">
        <f ca="1">IFERROR(__xludf.DUMMYFUNCTION("""COMPUTED_VALUE"""),"Etoile Pongiste de SCHLEITHAL ")</f>
        <v xml:space="preserve">Etoile Pongiste de SCHLEITHAL </v>
      </c>
      <c r="G294" s="50" t="str">
        <f ca="1">IFERROR(__xludf.DUMMYFUNCTION("""COMPUTED_VALUE"""),"CD67")</f>
        <v>CD67</v>
      </c>
      <c r="H294" s="50" t="str">
        <f ca="1">IFERROR(__xludf.DUMMYFUNCTION("""COMPUTED_VALUE"""),"actif")</f>
        <v>actif</v>
      </c>
    </row>
    <row r="295" spans="1:8" ht="12.75">
      <c r="A295" s="46">
        <f ca="1">IFERROR(__xludf.DUMMYFUNCTION("""COMPUTED_VALUE"""),283)</f>
        <v>283</v>
      </c>
      <c r="B295" s="65" t="str">
        <f ca="1">IFERROR(__xludf.DUMMYFUNCTION("""COMPUTED_VALUE"""),"675394")</f>
        <v>675394</v>
      </c>
      <c r="C295" s="48" t="str">
        <f ca="1">IFERROR(__xludf.DUMMYFUNCTION("""COMPUTED_VALUE"""),"PFRIMMER")</f>
        <v>PFRIMMER</v>
      </c>
      <c r="D295" s="48" t="str">
        <f ca="1">IFERROR(__xludf.DUMMYFUNCTION("""COMPUTED_VALUE"""),"Valentin")</f>
        <v>Valentin</v>
      </c>
      <c r="E295" s="49" t="str">
        <f ca="1">IFERROR(__xludf.DUMMYFUNCTION("""COMPUTED_VALUE"""),"06670203")</f>
        <v>06670203</v>
      </c>
      <c r="F295" s="48" t="str">
        <f ca="1">IFERROR(__xludf.DUMMYFUNCTION("""COMPUTED_VALUE"""),"BETSCHDORF TT")</f>
        <v>BETSCHDORF TT</v>
      </c>
      <c r="G295" s="50" t="str">
        <f ca="1">IFERROR(__xludf.DUMMYFUNCTION("""COMPUTED_VALUE"""),"CD67")</f>
        <v>CD67</v>
      </c>
      <c r="H295" s="50" t="str">
        <f ca="1">IFERROR(__xludf.DUMMYFUNCTION("""COMPUTED_VALUE"""),"inactivité 1ère année")</f>
        <v>inactivité 1ère année</v>
      </c>
    </row>
    <row r="296" spans="1:8" ht="12.75">
      <c r="A296" s="46">
        <f ca="1">IFERROR(__xludf.DUMMYFUNCTION("""COMPUTED_VALUE"""),284)</f>
        <v>284</v>
      </c>
      <c r="B296" s="65" t="str">
        <f ca="1">IFERROR(__xludf.DUMMYFUNCTION("""COMPUTED_VALUE"""),"5737436")</f>
        <v>5737436</v>
      </c>
      <c r="C296" s="48" t="str">
        <f ca="1">IFERROR(__xludf.DUMMYFUNCTION("""COMPUTED_VALUE"""),"PIERROT")</f>
        <v>PIERROT</v>
      </c>
      <c r="D296" s="48" t="str">
        <f ca="1">IFERROR(__xludf.DUMMYFUNCTION("""COMPUTED_VALUE"""),"Laura")</f>
        <v>Laura</v>
      </c>
      <c r="E296" s="49" t="str">
        <f ca="1">IFERROR(__xludf.DUMMYFUNCTION("""COMPUTED_VALUE"""),"06570073")</f>
        <v>06570073</v>
      </c>
      <c r="F296" s="48" t="str">
        <f ca="1">IFERROR(__xludf.DUMMYFUNCTION("""COMPUTED_VALUE"""),"TERVILLE Tennis de Table")</f>
        <v>TERVILLE Tennis de Table</v>
      </c>
      <c r="G296" s="50" t="str">
        <f ca="1">IFERROR(__xludf.DUMMYFUNCTION("""COMPUTED_VALUE"""),"CD57")</f>
        <v>CD57</v>
      </c>
      <c r="H296" s="50" t="str">
        <f ca="1">IFERROR(__xludf.DUMMYFUNCTION("""COMPUTED_VALUE"""),"actif")</f>
        <v>actif</v>
      </c>
    </row>
    <row r="297" spans="1:8" ht="12.75">
      <c r="A297" s="46">
        <f ca="1">IFERROR(__xludf.DUMMYFUNCTION("""COMPUTED_VALUE"""),285)</f>
        <v>285</v>
      </c>
      <c r="B297" s="65" t="str">
        <f ca="1">IFERROR(__xludf.DUMMYFUNCTION("""COMPUTED_VALUE"""),"5424287")</f>
        <v>5424287</v>
      </c>
      <c r="C297" s="48" t="str">
        <f ca="1">IFERROR(__xludf.DUMMYFUNCTION("""COMPUTED_VALUE"""),"PINTO")</f>
        <v>PINTO</v>
      </c>
      <c r="D297" s="48" t="str">
        <f ca="1">IFERROR(__xludf.DUMMYFUNCTION("""COMPUTED_VALUE"""),"Antonio")</f>
        <v>Antonio</v>
      </c>
      <c r="E297" s="49" t="str">
        <f ca="1">IFERROR(__xludf.DUMMYFUNCTION("""COMPUTED_VALUE"""),"06550058")</f>
        <v>06550058</v>
      </c>
      <c r="F297" s="48" t="str">
        <f ca="1">IFERROR(__xludf.DUMMYFUNCTION("""COMPUTED_VALUE"""),"Les Loups de DAMVILLERS ASTT ")</f>
        <v xml:space="preserve">Les Loups de DAMVILLERS ASTT </v>
      </c>
      <c r="G297" s="50" t="str">
        <f ca="1">IFERROR(__xludf.DUMMYFUNCTION("""COMPUTED_VALUE"""),"CD55")</f>
        <v>CD55</v>
      </c>
      <c r="H297" s="50" t="str">
        <f ca="1">IFERROR(__xludf.DUMMYFUNCTION("""COMPUTED_VALUE"""),"actif")</f>
        <v>actif</v>
      </c>
    </row>
    <row r="298" spans="1:8" ht="12.75">
      <c r="A298" s="46">
        <f ca="1">IFERROR(__xludf.DUMMYFUNCTION("""COMPUTED_VALUE"""),286)</f>
        <v>286</v>
      </c>
      <c r="B298" s="65" t="str">
        <f ca="1">IFERROR(__xludf.DUMMYFUNCTION("""COMPUTED_VALUE"""),"548594")</f>
        <v>548594</v>
      </c>
      <c r="C298" s="48" t="str">
        <f ca="1">IFERROR(__xludf.DUMMYFUNCTION("""COMPUTED_VALUE"""),"POISOT")</f>
        <v>POISOT</v>
      </c>
      <c r="D298" s="48" t="str">
        <f ca="1">IFERROR(__xludf.DUMMYFUNCTION("""COMPUTED_VALUE"""),"Christophe")</f>
        <v>Christophe</v>
      </c>
      <c r="E298" s="49" t="str">
        <f ca="1">IFERROR(__xludf.DUMMYFUNCTION("""COMPUTED_VALUE"""),"06540011")</f>
        <v>06540011</v>
      </c>
      <c r="F298" s="48" t="str">
        <f ca="1">IFERROR(__xludf.DUMMYFUNCTION("""COMPUTED_VALUE"""),"Frouard O.F.P.")</f>
        <v>Frouard O.F.P.</v>
      </c>
      <c r="G298" s="50" t="str">
        <f ca="1">IFERROR(__xludf.DUMMYFUNCTION("""COMPUTED_VALUE"""),"CD54")</f>
        <v>CD54</v>
      </c>
      <c r="H298" s="50" t="str">
        <f ca="1">IFERROR(__xludf.DUMMYFUNCTION("""COMPUTED_VALUE"""),"inactivité 1ère année")</f>
        <v>inactivité 1ère année</v>
      </c>
    </row>
    <row r="299" spans="1:8" ht="12.75">
      <c r="A299" s="46">
        <f ca="1">IFERROR(__xludf.DUMMYFUNCTION("""COMPUTED_VALUE"""),287)</f>
        <v>287</v>
      </c>
      <c r="B299" s="65" t="str">
        <f ca="1">IFERROR(__xludf.DUMMYFUNCTION("""COMPUTED_VALUE"""),"578365")</f>
        <v>578365</v>
      </c>
      <c r="C299" s="48" t="str">
        <f ca="1">IFERROR(__xludf.DUMMYFUNCTION("""COMPUTED_VALUE"""),"POMAREDE")</f>
        <v>POMAREDE</v>
      </c>
      <c r="D299" s="48" t="str">
        <f ca="1">IFERROR(__xludf.DUMMYFUNCTION("""COMPUTED_VALUE"""),"Christophe")</f>
        <v>Christophe</v>
      </c>
      <c r="E299" s="49" t="str">
        <f ca="1">IFERROR(__xludf.DUMMYFUNCTION("""COMPUTED_VALUE"""),"06570008")</f>
        <v>06570008</v>
      </c>
      <c r="F299" s="48" t="str">
        <f ca="1">IFERROR(__xludf.DUMMYFUNCTION("""COMPUTED_VALUE"""),"L HOPITAL P.P.C. ")</f>
        <v xml:space="preserve">L HOPITAL P.P.C. </v>
      </c>
      <c r="G299" s="50" t="str">
        <f ca="1">IFERROR(__xludf.DUMMYFUNCTION("""COMPUTED_VALUE"""),"CD57")</f>
        <v>CD57</v>
      </c>
      <c r="H299" s="50" t="str">
        <f ca="1">IFERROR(__xludf.DUMMYFUNCTION("""COMPUTED_VALUE"""),"inactivité 1ère année")</f>
        <v>inactivité 1ère année</v>
      </c>
    </row>
    <row r="300" spans="1:8" ht="12.75">
      <c r="A300" s="46">
        <f ca="1">IFERROR(__xludf.DUMMYFUNCTION("""COMPUTED_VALUE"""),288)</f>
        <v>288</v>
      </c>
      <c r="B300" s="65" t="str">
        <f ca="1">IFERROR(__xludf.DUMMYFUNCTION("""COMPUTED_VALUE"""),"0211551")</f>
        <v>0211551</v>
      </c>
      <c r="C300" s="48" t="str">
        <f ca="1">IFERROR(__xludf.DUMMYFUNCTION("""COMPUTED_VALUE"""),"POTTIER")</f>
        <v>POTTIER</v>
      </c>
      <c r="D300" s="48" t="str">
        <f ca="1">IFERROR(__xludf.DUMMYFUNCTION("""COMPUTED_VALUE"""),"Arnaud")</f>
        <v>Arnaud</v>
      </c>
      <c r="E300" s="49" t="str">
        <f ca="1">IFERROR(__xludf.DUMMYFUNCTION("""COMPUTED_VALUE"""),"06510001")</f>
        <v>06510001</v>
      </c>
      <c r="F300" s="48" t="str">
        <f ca="1">IFERROR(__xludf.DUMMYFUNCTION("""COMPUTED_VALUE"""),"REIMS OLYMPIQUE TT")</f>
        <v>REIMS OLYMPIQUE TT</v>
      </c>
      <c r="G300" s="50" t="str">
        <f ca="1">IFERROR(__xludf.DUMMYFUNCTION("""COMPUTED_VALUE"""),"CD51")</f>
        <v>CD51</v>
      </c>
      <c r="H300" s="50" t="str">
        <f ca="1">IFERROR(__xludf.DUMMYFUNCTION("""COMPUTED_VALUE"""),"inactivité 2ème année")</f>
        <v>inactivité 2ème année</v>
      </c>
    </row>
    <row r="301" spans="1:8" ht="12.75">
      <c r="A301" s="46">
        <f ca="1">IFERROR(__xludf.DUMMYFUNCTION("""COMPUTED_VALUE"""),289)</f>
        <v>289</v>
      </c>
      <c r="B301" s="65" t="str">
        <f ca="1">IFERROR(__xludf.DUMMYFUNCTION("""COMPUTED_VALUE"""),"794071")</f>
        <v>794071</v>
      </c>
      <c r="C301" s="48" t="str">
        <f ca="1">IFERROR(__xludf.DUMMYFUNCTION("""COMPUTED_VALUE"""),"POUPIN")</f>
        <v>POUPIN</v>
      </c>
      <c r="D301" s="48" t="str">
        <f ca="1">IFERROR(__xludf.DUMMYFUNCTION("""COMPUTED_VALUE"""),"Virginie")</f>
        <v>Virginie</v>
      </c>
      <c r="E301" s="49" t="str">
        <f ca="1">IFERROR(__xludf.DUMMYFUNCTION("""COMPUTED_VALUE"""),"06080035")</f>
        <v>06080035</v>
      </c>
      <c r="F301" s="48" t="str">
        <f ca="1">IFERROR(__xludf.DUMMYFUNCTION("""COMPUTED_VALUE"""),"CHARLEVILLE MEZIERES ARDENNES TT")</f>
        <v>CHARLEVILLE MEZIERES ARDENNES TT</v>
      </c>
      <c r="G301" s="50" t="str">
        <f ca="1">IFERROR(__xludf.DUMMYFUNCTION("""COMPUTED_VALUE"""),"CD08")</f>
        <v>CD08</v>
      </c>
      <c r="H301" s="50" t="str">
        <f ca="1">IFERROR(__xludf.DUMMYFUNCTION("""COMPUTED_VALUE"""),"inactivité 1ère année")</f>
        <v>inactivité 1ère année</v>
      </c>
    </row>
    <row r="302" spans="1:8" ht="12.75">
      <c r="A302" s="46">
        <f ca="1">IFERROR(__xludf.DUMMYFUNCTION("""COMPUTED_VALUE"""),290)</f>
        <v>290</v>
      </c>
      <c r="B302" s="65" t="str">
        <f ca="1">IFERROR(__xludf.DUMMYFUNCTION("""COMPUTED_VALUE"""),"8814397")</f>
        <v>8814397</v>
      </c>
      <c r="C302" s="48" t="str">
        <f ca="1">IFERROR(__xludf.DUMMYFUNCTION("""COMPUTED_VALUE"""),"PROT")</f>
        <v>PROT</v>
      </c>
      <c r="D302" s="48" t="str">
        <f ca="1">IFERROR(__xludf.DUMMYFUNCTION("""COMPUTED_VALUE"""),"Jordan")</f>
        <v>Jordan</v>
      </c>
      <c r="E302" s="49" t="str">
        <f ca="1">IFERROR(__xludf.DUMMYFUNCTION("""COMPUTED_VALUE"""),"06880066")</f>
        <v>06880066</v>
      </c>
      <c r="F302" s="48" t="str">
        <f ca="1">IFERROR(__xludf.DUMMYFUNCTION("""COMPUTED_VALUE"""),"ELOYES C.L.L.T.T.")</f>
        <v>ELOYES C.L.L.T.T.</v>
      </c>
      <c r="G302" s="50" t="str">
        <f ca="1">IFERROR(__xludf.DUMMYFUNCTION("""COMPUTED_VALUE"""),"CD88")</f>
        <v>CD88</v>
      </c>
      <c r="H302" s="50" t="str">
        <f ca="1">IFERROR(__xludf.DUMMYFUNCTION("""COMPUTED_VALUE"""),"inactivité 1ère année")</f>
        <v>inactivité 1ère année</v>
      </c>
    </row>
    <row r="303" spans="1:8" ht="12.75">
      <c r="A303" s="46">
        <f ca="1">IFERROR(__xludf.DUMMYFUNCTION("""COMPUTED_VALUE"""),291)</f>
        <v>291</v>
      </c>
      <c r="B303" s="65" t="str">
        <f ca="1">IFERROR(__xludf.DUMMYFUNCTION("""COMPUTED_VALUE"""),"524508")</f>
        <v>524508</v>
      </c>
      <c r="C303" s="48" t="str">
        <f ca="1">IFERROR(__xludf.DUMMYFUNCTION("""COMPUTED_VALUE"""),"PROTOY")</f>
        <v>PROTOY</v>
      </c>
      <c r="D303" s="48" t="str">
        <f ca="1">IFERROR(__xludf.DUMMYFUNCTION("""COMPUTED_VALUE"""),"Alex")</f>
        <v>Alex</v>
      </c>
      <c r="E303" s="49" t="str">
        <f ca="1">IFERROR(__xludf.DUMMYFUNCTION("""COMPUTED_VALUE"""),"06520054")</f>
        <v>06520054</v>
      </c>
      <c r="F303" s="48" t="str">
        <f ca="1">IFERROR(__xludf.DUMMYFUNCTION("""COMPUTED_VALUE"""),"NOGENT ASNTT")</f>
        <v>NOGENT ASNTT</v>
      </c>
      <c r="G303" s="50" t="str">
        <f ca="1">IFERROR(__xludf.DUMMYFUNCTION("""COMPUTED_VALUE"""),"CD52")</f>
        <v>CD52</v>
      </c>
      <c r="H303" s="50" t="str">
        <f ca="1">IFERROR(__xludf.DUMMYFUNCTION("""COMPUTED_VALUE"""),"inactivité 2ème année")</f>
        <v>inactivité 2ème année</v>
      </c>
    </row>
    <row r="304" spans="1:8" ht="12.75">
      <c r="A304" s="46">
        <f ca="1">IFERROR(__xludf.DUMMYFUNCTION("""COMPUTED_VALUE"""),292)</f>
        <v>292</v>
      </c>
      <c r="B304" s="65" t="str">
        <f ca="1">IFERROR(__xludf.DUMMYFUNCTION("""COMPUTED_VALUE"""),"5415022")</f>
        <v>5415022</v>
      </c>
      <c r="C304" s="48" t="str">
        <f ca="1">IFERROR(__xludf.DUMMYFUNCTION("""COMPUTED_VALUE"""),"PRUDHOMME")</f>
        <v>PRUDHOMME</v>
      </c>
      <c r="D304" s="48" t="str">
        <f ca="1">IFERROR(__xludf.DUMMYFUNCTION("""COMPUTED_VALUE"""),"Olivier")</f>
        <v>Olivier</v>
      </c>
      <c r="E304" s="49" t="str">
        <f ca="1">IFERROR(__xludf.DUMMYFUNCTION("""COMPUTED_VALUE"""),"06570190")</f>
        <v>06570190</v>
      </c>
      <c r="F304" s="48" t="str">
        <f ca="1">IFERROR(__xludf.DUMMYFUNCTION("""COMPUTED_VALUE"""),"METZ Tennis de Table")</f>
        <v>METZ Tennis de Table</v>
      </c>
      <c r="G304" s="50" t="str">
        <f ca="1">IFERROR(__xludf.DUMMYFUNCTION("""COMPUTED_VALUE"""),"CD57")</f>
        <v>CD57</v>
      </c>
      <c r="H304" s="50" t="str">
        <f ca="1">IFERROR(__xludf.DUMMYFUNCTION("""COMPUTED_VALUE"""),"inactivité 2ème année")</f>
        <v>inactivité 2ème année</v>
      </c>
    </row>
    <row r="305" spans="1:8" ht="12.75">
      <c r="A305" s="46">
        <f ca="1">IFERROR(__xludf.DUMMYFUNCTION("""COMPUTED_VALUE"""),293)</f>
        <v>293</v>
      </c>
      <c r="B305" s="65" t="str">
        <f ca="1">IFERROR(__xludf.DUMMYFUNCTION("""COMPUTED_VALUE"""),"6726440")</f>
        <v>6726440</v>
      </c>
      <c r="C305" s="48" t="str">
        <f ca="1">IFERROR(__xludf.DUMMYFUNCTION("""COMPUTED_VALUE"""),"PUGLIESE")</f>
        <v>PUGLIESE</v>
      </c>
      <c r="D305" s="48" t="str">
        <f ca="1">IFERROR(__xludf.DUMMYFUNCTION("""COMPUTED_VALUE"""),"Johann")</f>
        <v>Johann</v>
      </c>
      <c r="E305" s="49" t="str">
        <f ca="1">IFERROR(__xludf.DUMMYFUNCTION("""COMPUTED_VALUE"""),"06670270")</f>
        <v>06670270</v>
      </c>
      <c r="F305" s="48" t="str">
        <f ca="1">IFERROR(__xludf.DUMMYFUNCTION("""COMPUTED_VALUE"""),"STRASBOURG EUROMETROPOLE TT")</f>
        <v>STRASBOURG EUROMETROPOLE TT</v>
      </c>
      <c r="G305" s="50" t="str">
        <f ca="1">IFERROR(__xludf.DUMMYFUNCTION("""COMPUTED_VALUE"""),"CD67")</f>
        <v>CD67</v>
      </c>
      <c r="H305" s="50" t="str">
        <f ca="1">IFERROR(__xludf.DUMMYFUNCTION("""COMPUTED_VALUE"""),"actif")</f>
        <v>actif</v>
      </c>
    </row>
    <row r="306" spans="1:8" ht="12.75">
      <c r="A306" s="46">
        <f ca="1">IFERROR(__xludf.DUMMYFUNCTION("""COMPUTED_VALUE"""),294)</f>
        <v>294</v>
      </c>
      <c r="B306" s="65" t="str">
        <f ca="1">IFERROR(__xludf.DUMMYFUNCTION("""COMPUTED_VALUE"""),"2215275")</f>
        <v>2215275</v>
      </c>
      <c r="C306" s="48" t="str">
        <f ca="1">IFERROR(__xludf.DUMMYFUNCTION("""COMPUTED_VALUE"""),"RAVELET")</f>
        <v>RAVELET</v>
      </c>
      <c r="D306" s="48" t="str">
        <f ca="1">IFERROR(__xludf.DUMMYFUNCTION("""COMPUTED_VALUE"""),"Arnaud")</f>
        <v>Arnaud</v>
      </c>
      <c r="E306" s="49" t="str">
        <f ca="1">IFERROR(__xludf.DUMMYFUNCTION("""COMPUTED_VALUE"""),"06570073")</f>
        <v>06570073</v>
      </c>
      <c r="F306" s="48" t="str">
        <f ca="1">IFERROR(__xludf.DUMMYFUNCTION("""COMPUTED_VALUE"""),"TERVILLE Tennis de Table")</f>
        <v>TERVILLE Tennis de Table</v>
      </c>
      <c r="G306" s="50" t="str">
        <f ca="1">IFERROR(__xludf.DUMMYFUNCTION("""COMPUTED_VALUE"""),"CD57")</f>
        <v>CD57</v>
      </c>
      <c r="H306" s="50" t="str">
        <f ca="1">IFERROR(__xludf.DUMMYFUNCTION("""COMPUTED_VALUE"""),"actif")</f>
        <v>actif</v>
      </c>
    </row>
    <row r="307" spans="1:8" ht="12.75">
      <c r="A307" s="140">
        <f ca="1">IFERROR(__xludf.DUMMYFUNCTION("""COMPUTED_VALUE"""),295)</f>
        <v>295</v>
      </c>
      <c r="B307" s="136" t="str">
        <f ca="1">IFERROR(__xludf.DUMMYFUNCTION("""COMPUTED_VALUE"""),"67635")</f>
        <v>67635</v>
      </c>
      <c r="C307" s="137" t="str">
        <f ca="1">IFERROR(__xludf.DUMMYFUNCTION("""COMPUTED_VALUE"""),"REIBEL")</f>
        <v>REIBEL</v>
      </c>
      <c r="D307" s="137" t="str">
        <f ca="1">IFERROR(__xludf.DUMMYFUNCTION("""COMPUTED_VALUE"""),"Christophe")</f>
        <v>Christophe</v>
      </c>
      <c r="E307" s="138" t="str">
        <f ca="1">IFERROR(__xludf.DUMMYFUNCTION("""COMPUTED_VALUE"""),"06670058")</f>
        <v>06670058</v>
      </c>
      <c r="F307" s="137" t="str">
        <f ca="1">IFERROR(__xludf.DUMMYFUNCTION("""COMPUTED_VALUE"""),"BENFELD LAURENTIA S.S.C.")</f>
        <v>BENFELD LAURENTIA S.S.C.</v>
      </c>
      <c r="G307" s="139" t="str">
        <f ca="1">IFERROR(__xludf.DUMMYFUNCTION("""COMPUTED_VALUE"""),"CD67")</f>
        <v>CD67</v>
      </c>
      <c r="H307" s="139" t="str">
        <f ca="1">IFERROR(__xludf.DUMMYFUNCTION("""COMPUTED_VALUE"""),"inactivité 2ème année")</f>
        <v>inactivité 2ème année</v>
      </c>
    </row>
    <row r="308" spans="1:8" ht="12.75">
      <c r="A308" s="140">
        <f ca="1">IFERROR(__xludf.DUMMYFUNCTION("""COMPUTED_VALUE"""),296)</f>
        <v>296</v>
      </c>
      <c r="B308" s="136" t="str">
        <f ca="1">IFERROR(__xludf.DUMMYFUNCTION("""COMPUTED_VALUE"""),"6720773")</f>
        <v>6720773</v>
      </c>
      <c r="C308" s="137" t="str">
        <f ca="1">IFERROR(__xludf.DUMMYFUNCTION("""COMPUTED_VALUE"""),"REIBEL")</f>
        <v>REIBEL</v>
      </c>
      <c r="D308" s="137" t="str">
        <f ca="1">IFERROR(__xludf.DUMMYFUNCTION("""COMPUTED_VALUE"""),"Marc")</f>
        <v>Marc</v>
      </c>
      <c r="E308" s="138" t="str">
        <f ca="1">IFERROR(__xludf.DUMMYFUNCTION("""COMPUTED_VALUE"""),"06670058")</f>
        <v>06670058</v>
      </c>
      <c r="F308" s="137" t="str">
        <f ca="1">IFERROR(__xludf.DUMMYFUNCTION("""COMPUTED_VALUE"""),"BENFELD LAURENTIA S.S.C.")</f>
        <v>BENFELD LAURENTIA S.S.C.</v>
      </c>
      <c r="G308" s="139" t="str">
        <f ca="1">IFERROR(__xludf.DUMMYFUNCTION("""COMPUTED_VALUE"""),"CD67")</f>
        <v>CD67</v>
      </c>
      <c r="H308" s="139" t="str">
        <f ca="1">IFERROR(__xludf.DUMMYFUNCTION("""COMPUTED_VALUE"""),"actif")</f>
        <v>actif</v>
      </c>
    </row>
    <row r="309" spans="1:8" ht="12.75">
      <c r="A309" s="46">
        <f ca="1">IFERROR(__xludf.DUMMYFUNCTION("""COMPUTED_VALUE"""),297)</f>
        <v>297</v>
      </c>
      <c r="B309" s="65" t="str">
        <f ca="1">IFERROR(__xludf.DUMMYFUNCTION("""COMPUTED_VALUE"""),"54467")</f>
        <v>54467</v>
      </c>
      <c r="C309" s="48" t="str">
        <f ca="1">IFERROR(__xludf.DUMMYFUNCTION("""COMPUTED_VALUE"""),"REMLE")</f>
        <v>REMLE</v>
      </c>
      <c r="D309" s="48" t="str">
        <f ca="1">IFERROR(__xludf.DUMMYFUNCTION("""COMPUTED_VALUE"""),"Sebastien")</f>
        <v>Sebastien</v>
      </c>
      <c r="E309" s="49" t="str">
        <f ca="1">IFERROR(__xludf.DUMMYFUNCTION("""COMPUTED_VALUE"""),"06540020")</f>
        <v>06540020</v>
      </c>
      <c r="F309" s="48" t="str">
        <f ca="1">IFERROR(__xludf.DUMMYFUNCTION("""COMPUTED_VALUE"""),"DOMBASLE STT")</f>
        <v>DOMBASLE STT</v>
      </c>
      <c r="G309" s="50" t="str">
        <f ca="1">IFERROR(__xludf.DUMMYFUNCTION("""COMPUTED_VALUE"""),"CD54")</f>
        <v>CD54</v>
      </c>
      <c r="H309" s="50" t="str">
        <f ca="1">IFERROR(__xludf.DUMMYFUNCTION("""COMPUTED_VALUE"""),"inactivité 2ème année")</f>
        <v>inactivité 2ème année</v>
      </c>
    </row>
    <row r="310" spans="1:8" ht="12.75">
      <c r="A310" s="46">
        <f ca="1">IFERROR(__xludf.DUMMYFUNCTION("""COMPUTED_VALUE"""),298)</f>
        <v>298</v>
      </c>
      <c r="B310" s="65" t="str">
        <f ca="1">IFERROR(__xludf.DUMMYFUNCTION("""COMPUTED_VALUE"""),"54466")</f>
        <v>54466</v>
      </c>
      <c r="C310" s="48" t="str">
        <f ca="1">IFERROR(__xludf.DUMMYFUNCTION("""COMPUTED_VALUE"""),"REMLE")</f>
        <v>REMLE</v>
      </c>
      <c r="D310" s="48" t="str">
        <f ca="1">IFERROR(__xludf.DUMMYFUNCTION("""COMPUTED_VALUE"""),"Didier")</f>
        <v>Didier</v>
      </c>
      <c r="E310" s="49" t="str">
        <f ca="1">IFERROR(__xludf.DUMMYFUNCTION("""COMPUTED_VALUE"""),"06540020")</f>
        <v>06540020</v>
      </c>
      <c r="F310" s="48" t="str">
        <f ca="1">IFERROR(__xludf.DUMMYFUNCTION("""COMPUTED_VALUE"""),"DOMBASLE STT")</f>
        <v>DOMBASLE STT</v>
      </c>
      <c r="G310" s="50" t="str">
        <f ca="1">IFERROR(__xludf.DUMMYFUNCTION("""COMPUTED_VALUE"""),"CD54")</f>
        <v>CD54</v>
      </c>
      <c r="H310" s="50" t="str">
        <f ca="1">IFERROR(__xludf.DUMMYFUNCTION("""COMPUTED_VALUE"""),"inactivité 2ème année")</f>
        <v>inactivité 2ème année</v>
      </c>
    </row>
    <row r="311" spans="1:8" ht="12.75">
      <c r="A311" s="46">
        <f ca="1">IFERROR(__xludf.DUMMYFUNCTION("""COMPUTED_VALUE"""),299)</f>
        <v>299</v>
      </c>
      <c r="B311" s="65" t="str">
        <f ca="1">IFERROR(__xludf.DUMMYFUNCTION("""COMPUTED_VALUE"""),"5421005")</f>
        <v>5421005</v>
      </c>
      <c r="C311" s="48" t="str">
        <f ca="1">IFERROR(__xludf.DUMMYFUNCTION("""COMPUTED_VALUE"""),"RENARD")</f>
        <v>RENARD</v>
      </c>
      <c r="D311" s="48" t="str">
        <f ca="1">IFERROR(__xludf.DUMMYFUNCTION("""COMPUTED_VALUE"""),"Emile")</f>
        <v>Emile</v>
      </c>
      <c r="E311" s="49" t="str">
        <f ca="1">IFERROR(__xludf.DUMMYFUNCTION("""COMPUTED_VALUE"""),"06540157")</f>
        <v>06540157</v>
      </c>
      <c r="F311" s="48" t="str">
        <f ca="1">IFERROR(__xludf.DUMMYFUNCTION("""COMPUTED_VALUE"""),"ST NICOLAS DE PORT PPCP")</f>
        <v>ST NICOLAS DE PORT PPCP</v>
      </c>
      <c r="G311" s="50" t="str">
        <f ca="1">IFERROR(__xludf.DUMMYFUNCTION("""COMPUTED_VALUE"""),"CD54")</f>
        <v>CD54</v>
      </c>
      <c r="H311" s="50" t="str">
        <f ca="1">IFERROR(__xludf.DUMMYFUNCTION("""COMPUTED_VALUE"""),"inactivité 3ème année")</f>
        <v>inactivité 3ème année</v>
      </c>
    </row>
    <row r="312" spans="1:8" ht="12.75">
      <c r="A312" s="46">
        <f ca="1">IFERROR(__xludf.DUMMYFUNCTION("""COMPUTED_VALUE"""),300)</f>
        <v>300</v>
      </c>
      <c r="B312" s="65" t="str">
        <f ca="1">IFERROR(__xludf.DUMMYFUNCTION("""COMPUTED_VALUE"""),"8813604")</f>
        <v>8813604</v>
      </c>
      <c r="C312" s="48" t="str">
        <f ca="1">IFERROR(__xludf.DUMMYFUNCTION("""COMPUTED_VALUE"""),"RICHARD")</f>
        <v>RICHARD</v>
      </c>
      <c r="D312" s="48" t="str">
        <f ca="1">IFERROR(__xludf.DUMMYFUNCTION("""COMPUTED_VALUE"""),"Thierry")</f>
        <v>Thierry</v>
      </c>
      <c r="E312" s="49" t="str">
        <f ca="1">IFERROR(__xludf.DUMMYFUNCTION("""COMPUTED_VALUE"""),"06880101")</f>
        <v>06880101</v>
      </c>
      <c r="F312" s="48" t="str">
        <f ca="1">IFERROR(__xludf.DUMMYFUNCTION("""COMPUTED_VALUE"""),"DOMFAING-BRUYERES Ent.MJC")</f>
        <v>DOMFAING-BRUYERES Ent.MJC</v>
      </c>
      <c r="G312" s="50" t="str">
        <f ca="1">IFERROR(__xludf.DUMMYFUNCTION("""COMPUTED_VALUE"""),"CD88")</f>
        <v>CD88</v>
      </c>
      <c r="H312" s="50" t="str">
        <f ca="1">IFERROR(__xludf.DUMMYFUNCTION("""COMPUTED_VALUE"""),"inactivité 1ère année")</f>
        <v>inactivité 1ère année</v>
      </c>
    </row>
    <row r="313" spans="1:8" ht="12.75">
      <c r="A313" s="46">
        <f ca="1">IFERROR(__xludf.DUMMYFUNCTION("""COMPUTED_VALUE"""),301)</f>
        <v>301</v>
      </c>
      <c r="B313" s="65" t="str">
        <f ca="1">IFERROR(__xludf.DUMMYFUNCTION("""COMPUTED_VALUE"""),"089376")</f>
        <v>089376</v>
      </c>
      <c r="C313" s="48" t="str">
        <f ca="1">IFERROR(__xludf.DUMMYFUNCTION("""COMPUTED_VALUE"""),"RICHEZ")</f>
        <v>RICHEZ</v>
      </c>
      <c r="D313" s="48" t="str">
        <f ca="1">IFERROR(__xludf.DUMMYFUNCTION("""COMPUTED_VALUE"""),"Jordy")</f>
        <v>Jordy</v>
      </c>
      <c r="E313" s="49" t="str">
        <f ca="1">IFERROR(__xludf.DUMMYFUNCTION("""COMPUTED_VALUE"""),"06080006")</f>
        <v>06080006</v>
      </c>
      <c r="F313" s="48" t="str">
        <f ca="1">IFERROR(__xludf.DUMMYFUNCTION("""COMPUTED_VALUE"""),"BAZEILLES PPC")</f>
        <v>BAZEILLES PPC</v>
      </c>
      <c r="G313" s="50" t="str">
        <f ca="1">IFERROR(__xludf.DUMMYFUNCTION("""COMPUTED_VALUE"""),"CD08")</f>
        <v>CD08</v>
      </c>
      <c r="H313" s="50" t="str">
        <f ca="1">IFERROR(__xludf.DUMMYFUNCTION("""COMPUTED_VALUE"""),"inactivité 3ème année")</f>
        <v>inactivité 3ème année</v>
      </c>
    </row>
    <row r="314" spans="1:8" ht="12.75">
      <c r="A314" s="46">
        <f ca="1">IFERROR(__xludf.DUMMYFUNCTION("""COMPUTED_VALUE"""),302)</f>
        <v>302</v>
      </c>
      <c r="B314" s="65" t="str">
        <f ca="1">IFERROR(__xludf.DUMMYFUNCTION("""COMPUTED_VALUE"""),"8814454")</f>
        <v>8814454</v>
      </c>
      <c r="C314" s="48" t="str">
        <f ca="1">IFERROR(__xludf.DUMMYFUNCTION("""COMPUTED_VALUE"""),"RINGENBACH")</f>
        <v>RINGENBACH</v>
      </c>
      <c r="D314" s="48" t="str">
        <f ca="1">IFERROR(__xludf.DUMMYFUNCTION("""COMPUTED_VALUE"""),"Manon")</f>
        <v>Manon</v>
      </c>
      <c r="E314" s="49" t="str">
        <f ca="1">IFERROR(__xludf.DUMMYFUNCTION("""COMPUTED_VALUE"""),"06540040")</f>
        <v>06540040</v>
      </c>
      <c r="F314" s="48" t="str">
        <f ca="1">IFERROR(__xludf.DUMMYFUNCTION("""COMPUTED_VALUE"""),"VILLERS LES NANCY C.O.S.")</f>
        <v>VILLERS LES NANCY C.O.S.</v>
      </c>
      <c r="G314" s="50" t="str">
        <f ca="1">IFERROR(__xludf.DUMMYFUNCTION("""COMPUTED_VALUE"""),"CD54")</f>
        <v>CD54</v>
      </c>
      <c r="H314" s="50" t="str">
        <f ca="1">IFERROR(__xludf.DUMMYFUNCTION("""COMPUTED_VALUE"""),"inactivité 2ème année")</f>
        <v>inactivité 2ème année</v>
      </c>
    </row>
    <row r="315" spans="1:8" ht="12.75">
      <c r="A315" s="46">
        <f ca="1">IFERROR(__xludf.DUMMYFUNCTION("""COMPUTED_VALUE"""),303)</f>
        <v>303</v>
      </c>
      <c r="B315" s="65" t="str">
        <f ca="1">IFERROR(__xludf.DUMMYFUNCTION("""COMPUTED_VALUE"""),"881650")</f>
        <v>881650</v>
      </c>
      <c r="C315" s="48" t="str">
        <f ca="1">IFERROR(__xludf.DUMMYFUNCTION("""COMPUTED_VALUE"""),"RIONDE")</f>
        <v>RIONDE</v>
      </c>
      <c r="D315" s="48" t="str">
        <f ca="1">IFERROR(__xludf.DUMMYFUNCTION("""COMPUTED_VALUE"""),"Fabrice")</f>
        <v>Fabrice</v>
      </c>
      <c r="E315" s="49" t="str">
        <f ca="1">IFERROR(__xludf.DUMMYFUNCTION("""COMPUTED_VALUE"""),"06880022")</f>
        <v>06880022</v>
      </c>
      <c r="F315" s="48" t="str">
        <f ca="1">IFERROR(__xludf.DUMMYFUNCTION("""COMPUTED_VALUE"""),"VITTEL SAINT REMY TT")</f>
        <v>VITTEL SAINT REMY TT</v>
      </c>
      <c r="G315" s="50" t="str">
        <f ca="1">IFERROR(__xludf.DUMMYFUNCTION("""COMPUTED_VALUE"""),"CD88")</f>
        <v>CD88</v>
      </c>
      <c r="H315" s="50" t="str">
        <f ca="1">IFERROR(__xludf.DUMMYFUNCTION("""COMPUTED_VALUE"""),"inactivité 3ème année")</f>
        <v>inactivité 3ème année</v>
      </c>
    </row>
    <row r="316" spans="1:8" ht="12.75">
      <c r="A316" s="46">
        <f ca="1">IFERROR(__xludf.DUMMYFUNCTION("""COMPUTED_VALUE"""),304)</f>
        <v>304</v>
      </c>
      <c r="B316" s="65" t="str">
        <f ca="1">IFERROR(__xludf.DUMMYFUNCTION("""COMPUTED_VALUE"""),"682136")</f>
        <v>682136</v>
      </c>
      <c r="C316" s="48" t="str">
        <f ca="1">IFERROR(__xludf.DUMMYFUNCTION("""COMPUTED_VALUE"""),"RITTER")</f>
        <v>RITTER</v>
      </c>
      <c r="D316" s="48" t="str">
        <f ca="1">IFERROR(__xludf.DUMMYFUNCTION("""COMPUTED_VALUE"""),"Stephane")</f>
        <v>Stephane</v>
      </c>
      <c r="E316" s="49" t="str">
        <f ca="1">IFERROR(__xludf.DUMMYFUNCTION("""COMPUTED_VALUE"""),"06680004")</f>
        <v>06680004</v>
      </c>
      <c r="F316" s="48" t="str">
        <f ca="1">IFERROR(__xludf.DUMMYFUNCTION("""COMPUTED_VALUE"""),"COLMAR MJC")</f>
        <v>COLMAR MJC</v>
      </c>
      <c r="G316" s="50" t="str">
        <f ca="1">IFERROR(__xludf.DUMMYFUNCTION("""COMPUTED_VALUE"""),"CD68")</f>
        <v>CD68</v>
      </c>
      <c r="H316" s="50" t="str">
        <f ca="1">IFERROR(__xludf.DUMMYFUNCTION("""COMPUTED_VALUE"""),"inactivité 1ère année")</f>
        <v>inactivité 1ère année</v>
      </c>
    </row>
    <row r="317" spans="1:8" ht="12.75">
      <c r="A317" s="46">
        <f ca="1">IFERROR(__xludf.DUMMYFUNCTION("""COMPUTED_VALUE"""),305)</f>
        <v>305</v>
      </c>
      <c r="B317" s="65" t="str">
        <f ca="1">IFERROR(__xludf.DUMMYFUNCTION("""COMPUTED_VALUE"""),"8811100")</f>
        <v>8811100</v>
      </c>
      <c r="C317" s="48" t="str">
        <f ca="1">IFERROR(__xludf.DUMMYFUNCTION("""COMPUTED_VALUE"""),"RIVAT")</f>
        <v>RIVAT</v>
      </c>
      <c r="D317" s="48" t="str">
        <f ca="1">IFERROR(__xludf.DUMMYFUNCTION("""COMPUTED_VALUE"""),"Benjamin")</f>
        <v>Benjamin</v>
      </c>
      <c r="E317" s="49" t="str">
        <f ca="1">IFERROR(__xludf.DUMMYFUNCTION("""COMPUTED_VALUE"""),"06880145")</f>
        <v>06880145</v>
      </c>
      <c r="F317" s="48" t="str">
        <f ca="1">IFERROR(__xludf.DUMMYFUNCTION("""COMPUTED_VALUE"""),"THAON CHENIMENIL E.S.T.T.")</f>
        <v>THAON CHENIMENIL E.S.T.T.</v>
      </c>
      <c r="G317" s="50" t="str">
        <f ca="1">IFERROR(__xludf.DUMMYFUNCTION("""COMPUTED_VALUE"""),"CD88")</f>
        <v>CD88</v>
      </c>
      <c r="H317" s="50" t="str">
        <f ca="1">IFERROR(__xludf.DUMMYFUNCTION("""COMPUTED_VALUE"""),"inactivité 1ère année")</f>
        <v>inactivité 1ère année</v>
      </c>
    </row>
    <row r="318" spans="1:8" ht="12.75">
      <c r="A318" s="46">
        <f ca="1">IFERROR(__xludf.DUMMYFUNCTION("""COMPUTED_VALUE"""),306)</f>
        <v>306</v>
      </c>
      <c r="B318" s="65" t="str">
        <f ca="1">IFERROR(__xludf.DUMMYFUNCTION("""COMPUTED_VALUE"""),"106032")</f>
        <v>106032</v>
      </c>
      <c r="C318" s="48" t="str">
        <f ca="1">IFERROR(__xludf.DUMMYFUNCTION("""COMPUTED_VALUE"""),"ROBAT")</f>
        <v>ROBAT</v>
      </c>
      <c r="D318" s="48" t="str">
        <f ca="1">IFERROR(__xludf.DUMMYFUNCTION("""COMPUTED_VALUE"""),"Carine")</f>
        <v>Carine</v>
      </c>
      <c r="E318" s="49" t="str">
        <f ca="1">IFERROR(__xludf.DUMMYFUNCTION("""COMPUTED_VALUE"""),"06100040")</f>
        <v>06100040</v>
      </c>
      <c r="F318" s="48" t="str">
        <f ca="1">IFERROR(__xludf.DUMMYFUNCTION("""COMPUTED_VALUE"""),"ROMILLY-VILLENAUXE CAP")</f>
        <v>ROMILLY-VILLENAUXE CAP</v>
      </c>
      <c r="G318" s="50" t="str">
        <f ca="1">IFERROR(__xludf.DUMMYFUNCTION("""COMPUTED_VALUE"""),"CD10")</f>
        <v>CD10</v>
      </c>
      <c r="H318" s="50" t="str">
        <f ca="1">IFERROR(__xludf.DUMMYFUNCTION("""COMPUTED_VALUE"""),"inactivité 3ème année")</f>
        <v>inactivité 3ème année</v>
      </c>
    </row>
    <row r="319" spans="1:8" ht="12.75">
      <c r="A319" s="46">
        <f ca="1">IFERROR(__xludf.DUMMYFUNCTION("""COMPUTED_VALUE"""),307)</f>
        <v>307</v>
      </c>
      <c r="B319" s="65" t="str">
        <f ca="1">IFERROR(__xludf.DUMMYFUNCTION("""COMPUTED_VALUE"""),"881642")</f>
        <v>881642</v>
      </c>
      <c r="C319" s="48" t="str">
        <f ca="1">IFERROR(__xludf.DUMMYFUNCTION("""COMPUTED_VALUE"""),"ROBERT")</f>
        <v>ROBERT</v>
      </c>
      <c r="D319" s="48" t="str">
        <f ca="1">IFERROR(__xludf.DUMMYFUNCTION("""COMPUTED_VALUE"""),"Etienne")</f>
        <v>Etienne</v>
      </c>
      <c r="E319" s="49" t="str">
        <f ca="1">IFERROR(__xludf.DUMMYFUNCTION("""COMPUTED_VALUE"""),"06880101")</f>
        <v>06880101</v>
      </c>
      <c r="F319" s="48" t="str">
        <f ca="1">IFERROR(__xludf.DUMMYFUNCTION("""COMPUTED_VALUE"""),"DOMFAING-BRUYERES Ent.MJC")</f>
        <v>DOMFAING-BRUYERES Ent.MJC</v>
      </c>
      <c r="G319" s="50" t="str">
        <f ca="1">IFERROR(__xludf.DUMMYFUNCTION("""COMPUTED_VALUE"""),"CD88")</f>
        <v>CD88</v>
      </c>
      <c r="H319" s="50" t="str">
        <f ca="1">IFERROR(__xludf.DUMMYFUNCTION("""COMPUTED_VALUE"""),"inactivité 1ère année")</f>
        <v>inactivité 1ère année</v>
      </c>
    </row>
    <row r="320" spans="1:8" ht="12.75">
      <c r="A320" s="46">
        <f ca="1">IFERROR(__xludf.DUMMYFUNCTION("""COMPUTED_VALUE"""),308)</f>
        <v>308</v>
      </c>
      <c r="B320" s="65" t="str">
        <f ca="1">IFERROR(__xludf.DUMMYFUNCTION("""COMPUTED_VALUE"""),"105680")</f>
        <v>105680</v>
      </c>
      <c r="C320" s="48" t="str">
        <f ca="1">IFERROR(__xludf.DUMMYFUNCTION("""COMPUTED_VALUE"""),"ROBLET")</f>
        <v>ROBLET</v>
      </c>
      <c r="D320" s="48" t="str">
        <f ca="1">IFERROR(__xludf.DUMMYFUNCTION("""COMPUTED_VALUE"""),"Auguste")</f>
        <v>Auguste</v>
      </c>
      <c r="E320" s="49" t="str">
        <f ca="1">IFERROR(__xludf.DUMMYFUNCTION("""COMPUTED_VALUE"""),"06100005")</f>
        <v>06100005</v>
      </c>
      <c r="F320" s="48" t="str">
        <f ca="1">IFERROR(__xludf.DUMMYFUNCTION("""COMPUTED_VALUE"""),"ROMILLY SPORTS 10")</f>
        <v>ROMILLY SPORTS 10</v>
      </c>
      <c r="G320" s="50" t="str">
        <f ca="1">IFERROR(__xludf.DUMMYFUNCTION("""COMPUTED_VALUE"""),"CD10")</f>
        <v>CD10</v>
      </c>
      <c r="H320" s="50" t="str">
        <f ca="1">IFERROR(__xludf.DUMMYFUNCTION("""COMPUTED_VALUE"""),"inactivité 1ère année")</f>
        <v>inactivité 1ère année</v>
      </c>
    </row>
    <row r="321" spans="1:8" ht="12.75">
      <c r="A321" s="46">
        <f ca="1">IFERROR(__xludf.DUMMYFUNCTION("""COMPUTED_VALUE"""),309)</f>
        <v>309</v>
      </c>
      <c r="B321" s="65" t="str">
        <f ca="1">IFERROR(__xludf.DUMMYFUNCTION("""COMPUTED_VALUE"""),"6725671")</f>
        <v>6725671</v>
      </c>
      <c r="C321" s="48" t="str">
        <f ca="1">IFERROR(__xludf.DUMMYFUNCTION("""COMPUTED_VALUE"""),"ROCHEL")</f>
        <v>ROCHEL</v>
      </c>
      <c r="D321" s="48" t="str">
        <f ca="1">IFERROR(__xludf.DUMMYFUNCTION("""COMPUTED_VALUE"""),"Bertrand")</f>
        <v>Bertrand</v>
      </c>
      <c r="E321" s="49" t="str">
        <f ca="1">IFERROR(__xludf.DUMMYFUNCTION("""COMPUTED_VALUE"""),"06670043")</f>
        <v>06670043</v>
      </c>
      <c r="F321" s="48" t="str">
        <f ca="1">IFERROR(__xludf.DUMMYFUNCTION("""COMPUTED_VALUE"""),"BRUMATH UNITAS Tennis de Table")</f>
        <v>BRUMATH UNITAS Tennis de Table</v>
      </c>
      <c r="G321" s="50" t="str">
        <f ca="1">IFERROR(__xludf.DUMMYFUNCTION("""COMPUTED_VALUE"""),"CD67")</f>
        <v>CD67</v>
      </c>
      <c r="H321" s="50" t="str">
        <f ca="1">IFERROR(__xludf.DUMMYFUNCTION("""COMPUTED_VALUE"""),"inactivité 1ère année")</f>
        <v>inactivité 1ère année</v>
      </c>
    </row>
    <row r="322" spans="1:8" ht="12.75">
      <c r="A322" s="46">
        <f ca="1">IFERROR(__xludf.DUMMYFUNCTION("""COMPUTED_VALUE"""),310)</f>
        <v>310</v>
      </c>
      <c r="B322" s="65" t="str">
        <f ca="1">IFERROR(__xludf.DUMMYFUNCTION("""COMPUTED_VALUE"""),"523276")</f>
        <v>523276</v>
      </c>
      <c r="C322" s="48" t="str">
        <f ca="1">IFERROR(__xludf.DUMMYFUNCTION("""COMPUTED_VALUE"""),"RODRIGUEZ")</f>
        <v>RODRIGUEZ</v>
      </c>
      <c r="D322" s="48" t="str">
        <f ca="1">IFERROR(__xludf.DUMMYFUNCTION("""COMPUTED_VALUE"""),"Jimmy")</f>
        <v>Jimmy</v>
      </c>
      <c r="E322" s="49" t="str">
        <f ca="1">IFERROR(__xludf.DUMMYFUNCTION("""COMPUTED_VALUE"""),"06520057")</f>
        <v>06520057</v>
      </c>
      <c r="F322" s="48" t="str">
        <f ca="1">IFERROR(__xludf.DUMMYFUNCTION("""COMPUTED_VALUE"""),"Tennis de Table Breuvannais")</f>
        <v>Tennis de Table Breuvannais</v>
      </c>
      <c r="G322" s="50" t="str">
        <f ca="1">IFERROR(__xludf.DUMMYFUNCTION("""COMPUTED_VALUE"""),"CD52")</f>
        <v>CD52</v>
      </c>
      <c r="H322" s="50" t="str">
        <f ca="1">IFERROR(__xludf.DUMMYFUNCTION("""COMPUTED_VALUE"""),"actif")</f>
        <v>actif</v>
      </c>
    </row>
    <row r="323" spans="1:8" ht="12.75">
      <c r="A323" s="46">
        <f ca="1">IFERROR(__xludf.DUMMYFUNCTION("""COMPUTED_VALUE"""),311)</f>
        <v>311</v>
      </c>
      <c r="B323" s="65" t="str">
        <f ca="1">IFERROR(__xludf.DUMMYFUNCTION("""COMPUTED_VALUE"""),"088546")</f>
        <v>088546</v>
      </c>
      <c r="C323" s="48" t="str">
        <f ca="1">IFERROR(__xludf.DUMMYFUNCTION("""COMPUTED_VALUE"""),"ROGER")</f>
        <v>ROGER</v>
      </c>
      <c r="D323" s="48" t="str">
        <f ca="1">IFERROR(__xludf.DUMMYFUNCTION("""COMPUTED_VALUE"""),"Clement")</f>
        <v>Clement</v>
      </c>
      <c r="E323" s="49" t="str">
        <f ca="1">IFERROR(__xludf.DUMMYFUNCTION("""COMPUTED_VALUE"""),"06080074")</f>
        <v>06080074</v>
      </c>
      <c r="F323" s="48" t="str">
        <f ca="1">IFERROR(__xludf.DUMMYFUNCTION("""COMPUTED_VALUE"""),"NOUZONVILLE CTT")</f>
        <v>NOUZONVILLE CTT</v>
      </c>
      <c r="G323" s="50" t="str">
        <f ca="1">IFERROR(__xludf.DUMMYFUNCTION("""COMPUTED_VALUE"""),"CD08")</f>
        <v>CD08</v>
      </c>
      <c r="H323" s="50" t="str">
        <f ca="1">IFERROR(__xludf.DUMMYFUNCTION("""COMPUTED_VALUE"""),"inactivité 3ème année")</f>
        <v>inactivité 3ème année</v>
      </c>
    </row>
    <row r="324" spans="1:8" ht="12.75">
      <c r="A324" s="46">
        <f ca="1">IFERROR(__xludf.DUMMYFUNCTION("""COMPUTED_VALUE"""),312)</f>
        <v>312</v>
      </c>
      <c r="B324" s="65" t="str">
        <f ca="1">IFERROR(__xludf.DUMMYFUNCTION("""COMPUTED_VALUE"""),"577169")</f>
        <v>577169</v>
      </c>
      <c r="C324" s="48" t="str">
        <f ca="1">IFERROR(__xludf.DUMMYFUNCTION("""COMPUTED_VALUE"""),"ROLLIN")</f>
        <v>ROLLIN</v>
      </c>
      <c r="D324" s="48" t="str">
        <f ca="1">IFERROR(__xludf.DUMMYFUNCTION("""COMPUTED_VALUE"""),"Tom")</f>
        <v>Tom</v>
      </c>
      <c r="E324" s="49" t="str">
        <f ca="1">IFERROR(__xludf.DUMMYFUNCTION("""COMPUTED_VALUE"""),"06540192")</f>
        <v>06540192</v>
      </c>
      <c r="F324" s="48" t="str">
        <f ca="1">IFERROR(__xludf.DUMMYFUNCTION("""COMPUTED_VALUE"""),"LONGLAVILLE TT")</f>
        <v>LONGLAVILLE TT</v>
      </c>
      <c r="G324" s="50" t="str">
        <f ca="1">IFERROR(__xludf.DUMMYFUNCTION("""COMPUTED_VALUE"""),"CD54")</f>
        <v>CD54</v>
      </c>
      <c r="H324" s="50" t="str">
        <f ca="1">IFERROR(__xludf.DUMMYFUNCTION("""COMPUTED_VALUE"""),"inactivité 3ème année")</f>
        <v>inactivité 3ème année</v>
      </c>
    </row>
    <row r="325" spans="1:8" ht="12.75">
      <c r="A325" s="46">
        <f ca="1">IFERROR(__xludf.DUMMYFUNCTION("""COMPUTED_VALUE"""),313)</f>
        <v>313</v>
      </c>
      <c r="B325" s="65" t="str">
        <f ca="1">IFERROR(__xludf.DUMMYFUNCTION("""COMPUTED_VALUE"""),"5725134")</f>
        <v>5725134</v>
      </c>
      <c r="C325" s="48" t="str">
        <f ca="1">IFERROR(__xludf.DUMMYFUNCTION("""COMPUTED_VALUE"""),"RONDU")</f>
        <v>RONDU</v>
      </c>
      <c r="D325" s="48" t="str">
        <f ca="1">IFERROR(__xludf.DUMMYFUNCTION("""COMPUTED_VALUE"""),"Arnaud")</f>
        <v>Arnaud</v>
      </c>
      <c r="E325" s="49" t="str">
        <f ca="1">IFERROR(__xludf.DUMMYFUNCTION("""COMPUTED_VALUE"""),"06570024")</f>
        <v>06570024</v>
      </c>
      <c r="F325" s="48" t="str">
        <f ca="1">IFERROR(__xludf.DUMMYFUNCTION("""COMPUTED_VALUE"""),"THIONVILLE Tennis de Table")</f>
        <v>THIONVILLE Tennis de Table</v>
      </c>
      <c r="G325" s="50" t="str">
        <f ca="1">IFERROR(__xludf.DUMMYFUNCTION("""COMPUTED_VALUE"""),"CD57")</f>
        <v>CD57</v>
      </c>
      <c r="H325" s="50" t="str">
        <f ca="1">IFERROR(__xludf.DUMMYFUNCTION("""COMPUTED_VALUE"""),"inactivité 2ème année")</f>
        <v>inactivité 2ème année</v>
      </c>
    </row>
    <row r="326" spans="1:8" ht="12.75">
      <c r="A326" s="46">
        <f ca="1">IFERROR(__xludf.DUMMYFUNCTION("""COMPUTED_VALUE"""),314)</f>
        <v>314</v>
      </c>
      <c r="B326" s="65" t="str">
        <f ca="1">IFERROR(__xludf.DUMMYFUNCTION("""COMPUTED_VALUE"""),"5427795")</f>
        <v>5427795</v>
      </c>
      <c r="C326" s="48" t="str">
        <f ca="1">IFERROR(__xludf.DUMMYFUNCTION("""COMPUTED_VALUE"""),"ROSENBERGER")</f>
        <v>ROSENBERGER</v>
      </c>
      <c r="D326" s="48" t="str">
        <f ca="1">IFERROR(__xludf.DUMMYFUNCTION("""COMPUTED_VALUE"""),"Thibault")</f>
        <v>Thibault</v>
      </c>
      <c r="E326" s="49" t="str">
        <f ca="1">IFERROR(__xludf.DUMMYFUNCTION("""COMPUTED_VALUE"""),"06520003")</f>
        <v>06520003</v>
      </c>
      <c r="F326" s="48" t="str">
        <f ca="1">IFERROR(__xludf.DUMMYFUNCTION("""COMPUTED_VALUE"""),"EURVILLE BIENVILLE Jeunes")</f>
        <v>EURVILLE BIENVILLE Jeunes</v>
      </c>
      <c r="G326" s="50" t="str">
        <f ca="1">IFERROR(__xludf.DUMMYFUNCTION("""COMPUTED_VALUE"""),"CD52")</f>
        <v>CD52</v>
      </c>
      <c r="H326" s="50" t="str">
        <f ca="1">IFERROR(__xludf.DUMMYFUNCTION("""COMPUTED_VALUE"""),"actif")</f>
        <v>actif</v>
      </c>
    </row>
    <row r="327" spans="1:8" ht="12.75">
      <c r="A327" s="46">
        <f ca="1">IFERROR(__xludf.DUMMYFUNCTION("""COMPUTED_VALUE"""),315)</f>
        <v>315</v>
      </c>
      <c r="B327" s="65" t="str">
        <f ca="1">IFERROR(__xludf.DUMMYFUNCTION("""COMPUTED_VALUE"""),"5415194")</f>
        <v>5415194</v>
      </c>
      <c r="C327" s="48" t="str">
        <f ca="1">IFERROR(__xludf.DUMMYFUNCTION("""COMPUTED_VALUE"""),"RUBIN")</f>
        <v>RUBIN</v>
      </c>
      <c r="D327" s="48" t="str">
        <f ca="1">IFERROR(__xludf.DUMMYFUNCTION("""COMPUTED_VALUE"""),"Thierry")</f>
        <v>Thierry</v>
      </c>
      <c r="E327" s="49" t="str">
        <f ca="1">IFERROR(__xludf.DUMMYFUNCTION("""COMPUTED_VALUE"""),"06540184")</f>
        <v>06540184</v>
      </c>
      <c r="F327" s="48" t="str">
        <f ca="1">IFERROR(__xludf.DUMMYFUNCTION("""COMPUTED_VALUE"""),"BATILLY Tennis de Table")</f>
        <v>BATILLY Tennis de Table</v>
      </c>
      <c r="G327" s="50" t="str">
        <f ca="1">IFERROR(__xludf.DUMMYFUNCTION("""COMPUTED_VALUE"""),"CD54")</f>
        <v>CD54</v>
      </c>
      <c r="H327" s="50" t="str">
        <f ca="1">IFERROR(__xludf.DUMMYFUNCTION("""COMPUTED_VALUE"""),"inactivité 2ème année")</f>
        <v>inactivité 2ème année</v>
      </c>
    </row>
    <row r="328" spans="1:8" ht="12.75">
      <c r="A328" s="46">
        <f ca="1">IFERROR(__xludf.DUMMYFUNCTION("""COMPUTED_VALUE"""),316)</f>
        <v>316</v>
      </c>
      <c r="B328" s="65" t="str">
        <f ca="1">IFERROR(__xludf.DUMMYFUNCTION("""COMPUTED_VALUE"""),"6711916")</f>
        <v>6711916</v>
      </c>
      <c r="C328" s="48" t="str">
        <f ca="1">IFERROR(__xludf.DUMMYFUNCTION("""COMPUTED_VALUE"""),"RUCK")</f>
        <v>RUCK</v>
      </c>
      <c r="D328" s="48" t="str">
        <f ca="1">IFERROR(__xludf.DUMMYFUNCTION("""COMPUTED_VALUE"""),"Vincent")</f>
        <v>Vincent</v>
      </c>
      <c r="E328" s="49" t="str">
        <f ca="1">IFERROR(__xludf.DUMMYFUNCTION("""COMPUTED_VALUE"""),"06670203")</f>
        <v>06670203</v>
      </c>
      <c r="F328" s="48" t="str">
        <f ca="1">IFERROR(__xludf.DUMMYFUNCTION("""COMPUTED_VALUE"""),"BETSCHDORF TT")</f>
        <v>BETSCHDORF TT</v>
      </c>
      <c r="G328" s="50" t="str">
        <f ca="1">IFERROR(__xludf.DUMMYFUNCTION("""COMPUTED_VALUE"""),"CD67")</f>
        <v>CD67</v>
      </c>
      <c r="H328" s="50" t="str">
        <f ca="1">IFERROR(__xludf.DUMMYFUNCTION("""COMPUTED_VALUE"""),"inactivité 1ère année")</f>
        <v>inactivité 1ère année</v>
      </c>
    </row>
    <row r="329" spans="1:8" ht="12.75">
      <c r="A329" s="46">
        <f ca="1">IFERROR(__xludf.DUMMYFUNCTION("""COMPUTED_VALUE"""),317)</f>
        <v>317</v>
      </c>
      <c r="B329" s="65" t="str">
        <f ca="1">IFERROR(__xludf.DUMMYFUNCTION("""COMPUTED_VALUE"""),"572169")</f>
        <v>572169</v>
      </c>
      <c r="C329" s="48" t="str">
        <f ca="1">IFERROR(__xludf.DUMMYFUNCTION("""COMPUTED_VALUE"""),"RUPPEL")</f>
        <v>RUPPEL</v>
      </c>
      <c r="D329" s="48" t="str">
        <f ca="1">IFERROR(__xludf.DUMMYFUNCTION("""COMPUTED_VALUE"""),"Fabrice")</f>
        <v>Fabrice</v>
      </c>
      <c r="E329" s="49" t="str">
        <f ca="1">IFERROR(__xludf.DUMMYFUNCTION("""COMPUTED_VALUE"""),"06570107")</f>
        <v>06570107</v>
      </c>
      <c r="F329" s="48" t="str">
        <f ca="1">IFERROR(__xludf.DUMMYFUNCTION("""COMPUTED_VALUE"""),"MAIZIÈRES-LÈS-METZ T.T.")</f>
        <v>MAIZIÈRES-LÈS-METZ T.T.</v>
      </c>
      <c r="G329" s="50" t="str">
        <f ca="1">IFERROR(__xludf.DUMMYFUNCTION("""COMPUTED_VALUE"""),"CD57")</f>
        <v>CD57</v>
      </c>
      <c r="H329" s="50" t="str">
        <f ca="1">IFERROR(__xludf.DUMMYFUNCTION("""COMPUTED_VALUE"""),"inactivité 3ème année")</f>
        <v>inactivité 3ème année</v>
      </c>
    </row>
    <row r="330" spans="1:8" ht="12.75">
      <c r="A330" s="46">
        <f ca="1">IFERROR(__xludf.DUMMYFUNCTION("""COMPUTED_VALUE"""),318)</f>
        <v>318</v>
      </c>
      <c r="B330" s="65" t="str">
        <f ca="1">IFERROR(__xludf.DUMMYFUNCTION("""COMPUTED_VALUE"""),"6710513")</f>
        <v>6710513</v>
      </c>
      <c r="C330" s="48" t="str">
        <f ca="1">IFERROR(__xludf.DUMMYFUNCTION("""COMPUTED_VALUE"""),"SAARBACH")</f>
        <v>SAARBACH</v>
      </c>
      <c r="D330" s="48" t="str">
        <f ca="1">IFERROR(__xludf.DUMMYFUNCTION("""COMPUTED_VALUE"""),"Bernard")</f>
        <v>Bernard</v>
      </c>
      <c r="E330" s="49" t="str">
        <f ca="1">IFERROR(__xludf.DUMMYFUNCTION("""COMPUTED_VALUE"""),"06670260")</f>
        <v>06670260</v>
      </c>
      <c r="F330" s="48" t="str">
        <f ca="1">IFERROR(__xludf.DUMMYFUNCTION("""COMPUTED_VALUE"""),"SARRE-UNION CTT")</f>
        <v>SARRE-UNION CTT</v>
      </c>
      <c r="G330" s="50" t="str">
        <f ca="1">IFERROR(__xludf.DUMMYFUNCTION("""COMPUTED_VALUE"""),"CD67")</f>
        <v>CD67</v>
      </c>
      <c r="H330" s="50" t="str">
        <f ca="1">IFERROR(__xludf.DUMMYFUNCTION("""COMPUTED_VALUE"""),"inactivité 1ère année")</f>
        <v>inactivité 1ère année</v>
      </c>
    </row>
    <row r="331" spans="1:8" ht="12.75">
      <c r="A331" s="46">
        <f ca="1">IFERROR(__xludf.DUMMYFUNCTION("""COMPUTED_VALUE"""),319)</f>
        <v>319</v>
      </c>
      <c r="B331" s="65" t="str">
        <f ca="1">IFERROR(__xludf.DUMMYFUNCTION("""COMPUTED_VALUE"""),"577579")</f>
        <v>577579</v>
      </c>
      <c r="C331" s="48" t="str">
        <f ca="1">IFERROR(__xludf.DUMMYFUNCTION("""COMPUTED_VALUE"""),"SABE")</f>
        <v>SABE</v>
      </c>
      <c r="D331" s="48" t="str">
        <f ca="1">IFERROR(__xludf.DUMMYFUNCTION("""COMPUTED_VALUE"""),"Alain")</f>
        <v>Alain</v>
      </c>
      <c r="E331" s="49" t="str">
        <f ca="1">IFERROR(__xludf.DUMMYFUNCTION("""COMPUTED_VALUE"""),"06570075")</f>
        <v>06570075</v>
      </c>
      <c r="F331" s="48" t="str">
        <f ca="1">IFERROR(__xludf.DUMMYFUNCTION("""COMPUTED_VALUE"""),"ILLANGE USTT")</f>
        <v>ILLANGE USTT</v>
      </c>
      <c r="G331" s="50" t="str">
        <f ca="1">IFERROR(__xludf.DUMMYFUNCTION("""COMPUTED_VALUE"""),"CD57")</f>
        <v>CD57</v>
      </c>
      <c r="H331" s="50" t="str">
        <f ca="1">IFERROR(__xludf.DUMMYFUNCTION("""COMPUTED_VALUE"""),"inactivité 1ère année")</f>
        <v>inactivité 1ère année</v>
      </c>
    </row>
    <row r="332" spans="1:8" ht="12.75">
      <c r="A332" s="46">
        <f ca="1">IFERROR(__xludf.DUMMYFUNCTION("""COMPUTED_VALUE"""),320)</f>
        <v>320</v>
      </c>
      <c r="B332" s="65" t="str">
        <f ca="1">IFERROR(__xludf.DUMMYFUNCTION("""COMPUTED_VALUE"""),"885898")</f>
        <v>885898</v>
      </c>
      <c r="C332" s="48" t="str">
        <f ca="1">IFERROR(__xludf.DUMMYFUNCTION("""COMPUTED_VALUE"""),"SAINT DIZIER")</f>
        <v>SAINT DIZIER</v>
      </c>
      <c r="D332" s="48" t="str">
        <f ca="1">IFERROR(__xludf.DUMMYFUNCTION("""COMPUTED_VALUE"""),"Marie Helene")</f>
        <v>Marie Helene</v>
      </c>
      <c r="E332" s="49" t="str">
        <f ca="1">IFERROR(__xludf.DUMMYFUNCTION("""COMPUTED_VALUE"""),"06880022")</f>
        <v>06880022</v>
      </c>
      <c r="F332" s="48" t="str">
        <f ca="1">IFERROR(__xludf.DUMMYFUNCTION("""COMPUTED_VALUE"""),"VITTEL SAINT REMY TT")</f>
        <v>VITTEL SAINT REMY TT</v>
      </c>
      <c r="G332" s="50" t="str">
        <f ca="1">IFERROR(__xludf.DUMMYFUNCTION("""COMPUTED_VALUE"""),"CD88")</f>
        <v>CD88</v>
      </c>
      <c r="H332" s="50" t="str">
        <f ca="1">IFERROR(__xludf.DUMMYFUNCTION("""COMPUTED_VALUE"""),"inactivité 1ère année")</f>
        <v>inactivité 1ère année</v>
      </c>
    </row>
    <row r="333" spans="1:8" ht="12.75">
      <c r="A333" s="46">
        <f ca="1">IFERROR(__xludf.DUMMYFUNCTION("""COMPUTED_VALUE"""),321)</f>
        <v>321</v>
      </c>
      <c r="B333" s="65" t="str">
        <f ca="1">IFERROR(__xludf.DUMMYFUNCTION("""COMPUTED_VALUE"""),"885757")</f>
        <v>885757</v>
      </c>
      <c r="C333" s="48" t="str">
        <f ca="1">IFERROR(__xludf.DUMMYFUNCTION("""COMPUTED_VALUE"""),"SALQUEBRE")</f>
        <v>SALQUEBRE</v>
      </c>
      <c r="D333" s="48" t="str">
        <f ca="1">IFERROR(__xludf.DUMMYFUNCTION("""COMPUTED_VALUE"""),"Yann")</f>
        <v>Yann</v>
      </c>
      <c r="E333" s="49" t="str">
        <f ca="1">IFERROR(__xludf.DUMMYFUNCTION("""COMPUTED_VALUE"""),"06880064")</f>
        <v>06880064</v>
      </c>
      <c r="F333" s="48" t="str">
        <f ca="1">IFERROR(__xludf.DUMMYFUNCTION("""COMPUTED_VALUE"""),"TT des Ballons des Hautes Vosges")</f>
        <v>TT des Ballons des Hautes Vosges</v>
      </c>
      <c r="G333" s="50" t="str">
        <f ca="1">IFERROR(__xludf.DUMMYFUNCTION("""COMPUTED_VALUE"""),"CD88")</f>
        <v>CD88</v>
      </c>
      <c r="H333" s="50" t="str">
        <f ca="1">IFERROR(__xludf.DUMMYFUNCTION("""COMPUTED_VALUE"""),"inactivité 3ème année")</f>
        <v>inactivité 3ème année</v>
      </c>
    </row>
    <row r="334" spans="1:8" ht="12.75">
      <c r="A334" s="46">
        <f ca="1">IFERROR(__xludf.DUMMYFUNCTION("""COMPUTED_VALUE"""),322)</f>
        <v>322</v>
      </c>
      <c r="B334" s="65" t="str">
        <f ca="1">IFERROR(__xludf.DUMMYFUNCTION("""COMPUTED_VALUE"""),"6725638")</f>
        <v>6725638</v>
      </c>
      <c r="C334" s="48" t="str">
        <f ca="1">IFERROR(__xludf.DUMMYFUNCTION("""COMPUTED_VALUE"""),"SARTORI")</f>
        <v>SARTORI</v>
      </c>
      <c r="D334" s="48" t="str">
        <f ca="1">IFERROR(__xludf.DUMMYFUNCTION("""COMPUTED_VALUE"""),"Cyril")</f>
        <v>Cyril</v>
      </c>
      <c r="E334" s="49" t="str">
        <f ca="1">IFERROR(__xludf.DUMMYFUNCTION("""COMPUTED_VALUE"""),"06670257")</f>
        <v>06670257</v>
      </c>
      <c r="F334" s="48" t="str">
        <f ca="1">IFERROR(__xludf.DUMMYFUNCTION("""COMPUTED_VALUE"""),"AMICALE PONGISTE WOLXHEIM")</f>
        <v>AMICALE PONGISTE WOLXHEIM</v>
      </c>
      <c r="G334" s="50" t="str">
        <f ca="1">IFERROR(__xludf.DUMMYFUNCTION("""COMPUTED_VALUE"""),"CD67")</f>
        <v>CD67</v>
      </c>
      <c r="H334" s="50" t="str">
        <f ca="1">IFERROR(__xludf.DUMMYFUNCTION("""COMPUTED_VALUE"""),"inactivité 1ère année")</f>
        <v>inactivité 1ère année</v>
      </c>
    </row>
    <row r="335" spans="1:8" ht="12.75">
      <c r="A335" s="46">
        <f ca="1">IFERROR(__xludf.DUMMYFUNCTION("""COMPUTED_VALUE"""),323)</f>
        <v>323</v>
      </c>
      <c r="B335" s="65" t="str">
        <f ca="1">IFERROR(__xludf.DUMMYFUNCTION("""COMPUTED_VALUE"""),"6813923")</f>
        <v>6813923</v>
      </c>
      <c r="C335" s="48" t="str">
        <f ca="1">IFERROR(__xludf.DUMMYFUNCTION("""COMPUTED_VALUE"""),"SAUTER")</f>
        <v>SAUTER</v>
      </c>
      <c r="D335" s="48" t="str">
        <f ca="1">IFERROR(__xludf.DUMMYFUNCTION("""COMPUTED_VALUE"""),"Romain")</f>
        <v>Romain</v>
      </c>
      <c r="E335" s="81" t="str">
        <f ca="1">IFERROR(__xludf.DUMMYFUNCTION("""COMPUTED_VALUE"""),"06680138")</f>
        <v>06680138</v>
      </c>
      <c r="F335" s="68" t="str">
        <f ca="1">IFERROR(__xludf.DUMMYFUNCTION("""COMPUTED_VALUE"""),"SOULTZ CSM TT")</f>
        <v>SOULTZ CSM TT</v>
      </c>
      <c r="G335" s="50" t="str">
        <f ca="1">IFERROR(__xludf.DUMMYFUNCTION("""COMPUTED_VALUE"""),"CD68")</f>
        <v>CD68</v>
      </c>
      <c r="H335" s="50" t="str">
        <f ca="1">IFERROR(__xludf.DUMMYFUNCTION("""COMPUTED_VALUE"""),"inactivité 1ère année")</f>
        <v>inactivité 1ère année</v>
      </c>
    </row>
    <row r="336" spans="1:8" ht="12.75">
      <c r="A336" s="46">
        <f ca="1">IFERROR(__xludf.DUMMYFUNCTION("""COMPUTED_VALUE"""),324)</f>
        <v>324</v>
      </c>
      <c r="B336" s="65" t="str">
        <f ca="1">IFERROR(__xludf.DUMMYFUNCTION("""COMPUTED_VALUE"""),"5429547")</f>
        <v>5429547</v>
      </c>
      <c r="C336" s="48" t="str">
        <f ca="1">IFERROR(__xludf.DUMMYFUNCTION("""COMPUTED_VALUE"""),"SCHAACK")</f>
        <v>SCHAACK</v>
      </c>
      <c r="D336" s="48" t="str">
        <f ca="1">IFERROR(__xludf.DUMMYFUNCTION("""COMPUTED_VALUE"""),"Michel")</f>
        <v>Michel</v>
      </c>
      <c r="E336" s="49" t="str">
        <f ca="1">IFERROR(__xludf.DUMMYFUNCTION("""COMPUTED_VALUE"""),"06540007")</f>
        <v>06540007</v>
      </c>
      <c r="F336" s="48" t="str">
        <f ca="1">IFERROR(__xludf.DUMMYFUNCTION("""COMPUTED_VALUE"""),"BRIEY U.S. Tennis de Table")</f>
        <v>BRIEY U.S. Tennis de Table</v>
      </c>
      <c r="G336" s="50" t="str">
        <f ca="1">IFERROR(__xludf.DUMMYFUNCTION("""COMPUTED_VALUE"""),"CD54")</f>
        <v>CD54</v>
      </c>
      <c r="H336" s="50" t="str">
        <f ca="1">IFERROR(__xludf.DUMMYFUNCTION("""COMPUTED_VALUE"""),"inactivité 3ème année")</f>
        <v>inactivité 3ème année</v>
      </c>
    </row>
    <row r="337" spans="1:8" ht="12.75">
      <c r="A337" s="46">
        <f ca="1">IFERROR(__xludf.DUMMYFUNCTION("""COMPUTED_VALUE"""),325)</f>
        <v>325</v>
      </c>
      <c r="B337" s="65" t="str">
        <f ca="1">IFERROR(__xludf.DUMMYFUNCTION("""COMPUTED_VALUE"""),"68837")</f>
        <v>68837</v>
      </c>
      <c r="C337" s="48" t="str">
        <f ca="1">IFERROR(__xludf.DUMMYFUNCTION("""COMPUTED_VALUE"""),"SCHAUB")</f>
        <v>SCHAUB</v>
      </c>
      <c r="D337" s="48" t="str">
        <f ca="1">IFERROR(__xludf.DUMMYFUNCTION("""COMPUTED_VALUE"""),"Sylvain")</f>
        <v>Sylvain</v>
      </c>
      <c r="E337" s="49" t="str">
        <f ca="1">IFERROR(__xludf.DUMMYFUNCTION("""COMPUTED_VALUE"""),"06680082")</f>
        <v>06680082</v>
      </c>
      <c r="F337" s="48" t="str">
        <f ca="1">IFERROR(__xludf.DUMMYFUNCTION("""COMPUTED_VALUE"""),"SAINT-LOUIS TT")</f>
        <v>SAINT-LOUIS TT</v>
      </c>
      <c r="G337" s="50" t="str">
        <f ca="1">IFERROR(__xludf.DUMMYFUNCTION("""COMPUTED_VALUE"""),"CD68")</f>
        <v>CD68</v>
      </c>
      <c r="H337" s="50" t="str">
        <f ca="1">IFERROR(__xludf.DUMMYFUNCTION("""COMPUTED_VALUE"""),"inactivité 3ème année")</f>
        <v>inactivité 3ème année</v>
      </c>
    </row>
    <row r="338" spans="1:8" ht="12.75">
      <c r="A338" s="46">
        <f ca="1">IFERROR(__xludf.DUMMYFUNCTION("""COMPUTED_VALUE"""),326)</f>
        <v>326</v>
      </c>
      <c r="B338" s="65" t="str">
        <f ca="1">IFERROR(__xludf.DUMMYFUNCTION("""COMPUTED_VALUE"""),"68838")</f>
        <v>68838</v>
      </c>
      <c r="C338" s="48" t="str">
        <f ca="1">IFERROR(__xludf.DUMMYFUNCTION("""COMPUTED_VALUE"""),"SCHAUB")</f>
        <v>SCHAUB</v>
      </c>
      <c r="D338" s="48" t="str">
        <f ca="1">IFERROR(__xludf.DUMMYFUNCTION("""COMPUTED_VALUE"""),"Cyrille")</f>
        <v>Cyrille</v>
      </c>
      <c r="E338" s="49" t="str">
        <f ca="1">IFERROR(__xludf.DUMMYFUNCTION("""COMPUTED_VALUE"""),"06680082")</f>
        <v>06680082</v>
      </c>
      <c r="F338" s="48" t="str">
        <f ca="1">IFERROR(__xludf.DUMMYFUNCTION("""COMPUTED_VALUE"""),"SAINT-LOUIS TT")</f>
        <v>SAINT-LOUIS TT</v>
      </c>
      <c r="G338" s="50" t="str">
        <f ca="1">IFERROR(__xludf.DUMMYFUNCTION("""COMPUTED_VALUE"""),"CD68")</f>
        <v>CD68</v>
      </c>
      <c r="H338" s="50" t="str">
        <f ca="1">IFERROR(__xludf.DUMMYFUNCTION("""COMPUTED_VALUE"""),"inactivité 3ème année")</f>
        <v>inactivité 3ème année</v>
      </c>
    </row>
    <row r="339" spans="1:8" ht="12.75">
      <c r="A339" s="46">
        <f ca="1">IFERROR(__xludf.DUMMYFUNCTION("""COMPUTED_VALUE"""),327)</f>
        <v>327</v>
      </c>
      <c r="B339" s="65" t="str">
        <f ca="1">IFERROR(__xludf.DUMMYFUNCTION("""COMPUTED_VALUE"""),"5410093")</f>
        <v>5410093</v>
      </c>
      <c r="C339" s="48" t="str">
        <f ca="1">IFERROR(__xludf.DUMMYFUNCTION("""COMPUTED_VALUE"""),"SCHLETZER")</f>
        <v>SCHLETZER</v>
      </c>
      <c r="D339" s="48" t="str">
        <f ca="1">IFERROR(__xludf.DUMMYFUNCTION("""COMPUTED_VALUE"""),"Sylvie")</f>
        <v>Sylvie</v>
      </c>
      <c r="E339" s="49" t="str">
        <f ca="1">IFERROR(__xludf.DUMMYFUNCTION("""COMPUTED_VALUE"""),"06540043")</f>
        <v>06540043</v>
      </c>
      <c r="F339" s="48" t="str">
        <f ca="1">IFERROR(__xludf.DUMMYFUNCTION("""COMPUTED_VALUE"""),"NANCY S.L.U.C.")</f>
        <v>NANCY S.L.U.C.</v>
      </c>
      <c r="G339" s="50" t="str">
        <f ca="1">IFERROR(__xludf.DUMMYFUNCTION("""COMPUTED_VALUE"""),"CD54")</f>
        <v>CD54</v>
      </c>
      <c r="H339" s="50" t="str">
        <f ca="1">IFERROR(__xludf.DUMMYFUNCTION("""COMPUTED_VALUE"""),"inactivité 1ère année")</f>
        <v>inactivité 1ère année</v>
      </c>
    </row>
    <row r="340" spans="1:8" ht="12.75">
      <c r="A340" s="46">
        <f ca="1">IFERROR(__xludf.DUMMYFUNCTION("""COMPUTED_VALUE"""),328)</f>
        <v>328</v>
      </c>
      <c r="B340" s="65" t="str">
        <f ca="1">IFERROR(__xludf.DUMMYFUNCTION("""COMPUTED_VALUE"""),"573732")</f>
        <v>573732</v>
      </c>
      <c r="C340" s="48" t="str">
        <f ca="1">IFERROR(__xludf.DUMMYFUNCTION("""COMPUTED_VALUE"""),"SCHMIDT")</f>
        <v>SCHMIDT</v>
      </c>
      <c r="D340" s="48" t="str">
        <f ca="1">IFERROR(__xludf.DUMMYFUNCTION("""COMPUTED_VALUE"""),"Guy")</f>
        <v>Guy</v>
      </c>
      <c r="E340" s="49" t="str">
        <f ca="1">IFERROR(__xludf.DUMMYFUNCTION("""COMPUTED_VALUE"""),"06570019")</f>
        <v>06570019</v>
      </c>
      <c r="F340" s="48" t="str">
        <f ca="1">IFERROR(__xludf.DUMMYFUNCTION("""COMPUTED_VALUE"""),"SAINT AVOLD C.T.T.")</f>
        <v>SAINT AVOLD C.T.T.</v>
      </c>
      <c r="G340" s="50" t="str">
        <f ca="1">IFERROR(__xludf.DUMMYFUNCTION("""COMPUTED_VALUE"""),"CD57")</f>
        <v>CD57</v>
      </c>
      <c r="H340" s="50" t="str">
        <f ca="1">IFERROR(__xludf.DUMMYFUNCTION("""COMPUTED_VALUE"""),"inactivité 3ème année")</f>
        <v>inactivité 3ème année</v>
      </c>
    </row>
    <row r="341" spans="1:8" ht="12.75">
      <c r="A341" s="46">
        <f ca="1">IFERROR(__xludf.DUMMYFUNCTION("""COMPUTED_VALUE"""),329)</f>
        <v>329</v>
      </c>
      <c r="B341" s="65" t="str">
        <f ca="1">IFERROR(__xludf.DUMMYFUNCTION("""COMPUTED_VALUE"""),"676120")</f>
        <v>676120</v>
      </c>
      <c r="C341" s="48" t="str">
        <f ca="1">IFERROR(__xludf.DUMMYFUNCTION("""COMPUTED_VALUE"""),"SCHMITT")</f>
        <v>SCHMITT</v>
      </c>
      <c r="D341" s="48" t="str">
        <f ca="1">IFERROR(__xludf.DUMMYFUNCTION("""COMPUTED_VALUE"""),"Vincent")</f>
        <v>Vincent</v>
      </c>
      <c r="E341" s="49" t="str">
        <f ca="1">IFERROR(__xludf.DUMMYFUNCTION("""COMPUTED_VALUE"""),"06670027")</f>
        <v>06670027</v>
      </c>
      <c r="F341" s="48" t="str">
        <f ca="1">IFERROR(__xludf.DUMMYFUNCTION("""COMPUTED_VALUE"""),"ROSHEIM CA")</f>
        <v>ROSHEIM CA</v>
      </c>
      <c r="G341" s="50" t="str">
        <f ca="1">IFERROR(__xludf.DUMMYFUNCTION("""COMPUTED_VALUE"""),"CD67")</f>
        <v>CD67</v>
      </c>
      <c r="H341" s="50" t="str">
        <f ca="1">IFERROR(__xludf.DUMMYFUNCTION("""COMPUTED_VALUE"""),"inactivité 2ème année")</f>
        <v>inactivité 2ème année</v>
      </c>
    </row>
    <row r="342" spans="1:8" ht="12.75">
      <c r="A342" s="46">
        <f ca="1">IFERROR(__xludf.DUMMYFUNCTION("""COMPUTED_VALUE"""),330)</f>
        <v>330</v>
      </c>
      <c r="B342" s="65" t="str">
        <f ca="1">IFERROR(__xludf.DUMMYFUNCTION("""COMPUTED_VALUE"""),"5728074")</f>
        <v>5728074</v>
      </c>
      <c r="C342" s="48" t="str">
        <f ca="1">IFERROR(__xludf.DUMMYFUNCTION("""COMPUTED_VALUE"""),"SCHMITT")</f>
        <v>SCHMITT</v>
      </c>
      <c r="D342" s="48" t="str">
        <f ca="1">IFERROR(__xludf.DUMMYFUNCTION("""COMPUTED_VALUE"""),"Lionel")</f>
        <v>Lionel</v>
      </c>
      <c r="E342" s="49" t="str">
        <f ca="1">IFERROR(__xludf.DUMMYFUNCTION("""COMPUTED_VALUE"""),"06570175")</f>
        <v>06570175</v>
      </c>
      <c r="F342" s="48" t="str">
        <f ca="1">IFERROR(__xludf.DUMMYFUNCTION("""COMPUTED_VALUE"""),"METZ GRANGE AUX BOIS TT")</f>
        <v>METZ GRANGE AUX BOIS TT</v>
      </c>
      <c r="G342" s="50" t="str">
        <f ca="1">IFERROR(__xludf.DUMMYFUNCTION("""COMPUTED_VALUE"""),"CD57")</f>
        <v>CD57</v>
      </c>
      <c r="H342" s="50" t="str">
        <f ca="1">IFERROR(__xludf.DUMMYFUNCTION("""COMPUTED_VALUE"""),"inactivité 2ème année")</f>
        <v>inactivité 2ème année</v>
      </c>
    </row>
    <row r="343" spans="1:8" ht="12.75">
      <c r="A343" s="46">
        <f ca="1">IFERROR(__xludf.DUMMYFUNCTION("""COMPUTED_VALUE"""),331)</f>
        <v>331</v>
      </c>
      <c r="B343" s="65" t="str">
        <f ca="1">IFERROR(__xludf.DUMMYFUNCTION("""COMPUTED_VALUE"""),"6725294")</f>
        <v>6725294</v>
      </c>
      <c r="C343" s="48" t="str">
        <f ca="1">IFERROR(__xludf.DUMMYFUNCTION("""COMPUTED_VALUE"""),"SCHMITT")</f>
        <v>SCHMITT</v>
      </c>
      <c r="D343" s="48" t="str">
        <f ca="1">IFERROR(__xludf.DUMMYFUNCTION("""COMPUTED_VALUE"""),"Jeremy")</f>
        <v>Jeremy</v>
      </c>
      <c r="E343" s="49" t="str">
        <f ca="1">IFERROR(__xludf.DUMMYFUNCTION("""COMPUTED_VALUE"""),"06670045")</f>
        <v>06670045</v>
      </c>
      <c r="F343" s="48" t="str">
        <f ca="1">IFERROR(__xludf.DUMMYFUNCTION("""COMPUTED_VALUE"""),"STRASBOURG RC")</f>
        <v>STRASBOURG RC</v>
      </c>
      <c r="G343" s="50" t="str">
        <f ca="1">IFERROR(__xludf.DUMMYFUNCTION("""COMPUTED_VALUE"""),"CD67")</f>
        <v>CD67</v>
      </c>
      <c r="H343" s="50" t="str">
        <f ca="1">IFERROR(__xludf.DUMMYFUNCTION("""COMPUTED_VALUE"""),"actif")</f>
        <v>actif</v>
      </c>
    </row>
    <row r="344" spans="1:8" ht="12.75">
      <c r="A344" s="46">
        <f ca="1">IFERROR(__xludf.DUMMYFUNCTION("""COMPUTED_VALUE"""),332)</f>
        <v>332</v>
      </c>
      <c r="B344" s="65" t="str">
        <f ca="1">IFERROR(__xludf.DUMMYFUNCTION("""COMPUTED_VALUE"""),"5411509")</f>
        <v>5411509</v>
      </c>
      <c r="C344" s="48" t="str">
        <f ca="1">IFERROR(__xludf.DUMMYFUNCTION("""COMPUTED_VALUE"""),"SCHNEIDER")</f>
        <v>SCHNEIDER</v>
      </c>
      <c r="D344" s="48" t="str">
        <f ca="1">IFERROR(__xludf.DUMMYFUNCTION("""COMPUTED_VALUE"""),"Jean Marie")</f>
        <v>Jean Marie</v>
      </c>
      <c r="E344" s="49" t="str">
        <f ca="1">IFERROR(__xludf.DUMMYFUNCTION("""COMPUTED_VALUE"""),"06540055")</f>
        <v>06540055</v>
      </c>
      <c r="F344" s="48" t="str">
        <f ca="1">IFERROR(__xludf.DUMMYFUNCTION("""COMPUTED_VALUE"""),"LAY SAINT CHRISTOPHE TTLSC")</f>
        <v>LAY SAINT CHRISTOPHE TTLSC</v>
      </c>
      <c r="G344" s="50" t="str">
        <f ca="1">IFERROR(__xludf.DUMMYFUNCTION("""COMPUTED_VALUE"""),"CD54")</f>
        <v>CD54</v>
      </c>
      <c r="H344" s="50" t="str">
        <f ca="1">IFERROR(__xludf.DUMMYFUNCTION("""COMPUTED_VALUE"""),"inactivité 2ème année")</f>
        <v>inactivité 2ème année</v>
      </c>
    </row>
    <row r="345" spans="1:8" ht="12.75">
      <c r="A345" s="46">
        <f ca="1">IFERROR(__xludf.DUMMYFUNCTION("""COMPUTED_VALUE"""),333)</f>
        <v>333</v>
      </c>
      <c r="B345" s="65" t="str">
        <f ca="1">IFERROR(__xludf.DUMMYFUNCTION("""COMPUTED_VALUE"""),"085905")</f>
        <v>085905</v>
      </c>
      <c r="C345" s="48" t="str">
        <f ca="1">IFERROR(__xludf.DUMMYFUNCTION("""COMPUTED_VALUE"""),"SCHULZ")</f>
        <v>SCHULZ</v>
      </c>
      <c r="D345" s="48" t="str">
        <f ca="1">IFERROR(__xludf.DUMMYFUNCTION("""COMPUTED_VALUE"""),"Thomas")</f>
        <v>Thomas</v>
      </c>
      <c r="E345" s="49" t="str">
        <f ca="1">IFERROR(__xludf.DUMMYFUNCTION("""COMPUTED_VALUE"""),"06080043")</f>
        <v>06080043</v>
      </c>
      <c r="F345" s="48" t="str">
        <f ca="1">IFERROR(__xludf.DUMMYFUNCTION("""COMPUTED_VALUE"""),"ETREPIGNY TT")</f>
        <v>ETREPIGNY TT</v>
      </c>
      <c r="G345" s="50" t="str">
        <f ca="1">IFERROR(__xludf.DUMMYFUNCTION("""COMPUTED_VALUE"""),"CD08")</f>
        <v>CD08</v>
      </c>
      <c r="H345" s="50" t="str">
        <f ca="1">IFERROR(__xludf.DUMMYFUNCTION("""COMPUTED_VALUE"""),"inactivité 3ème année")</f>
        <v>inactivité 3ème année</v>
      </c>
    </row>
    <row r="346" spans="1:8" ht="12.75">
      <c r="A346" s="46">
        <f ca="1">IFERROR(__xludf.DUMMYFUNCTION("""COMPUTED_VALUE"""),334)</f>
        <v>334</v>
      </c>
      <c r="B346" s="65" t="str">
        <f ca="1">IFERROR(__xludf.DUMMYFUNCTION("""COMPUTED_VALUE"""),"6715237")</f>
        <v>6715237</v>
      </c>
      <c r="C346" s="48" t="str">
        <f ca="1">IFERROR(__xludf.DUMMYFUNCTION("""COMPUTED_VALUE"""),"SCHWARTZ")</f>
        <v>SCHWARTZ</v>
      </c>
      <c r="D346" s="48" t="str">
        <f ca="1">IFERROR(__xludf.DUMMYFUNCTION("""COMPUTED_VALUE"""),"Eric")</f>
        <v>Eric</v>
      </c>
      <c r="E346" s="49" t="str">
        <f ca="1">IFERROR(__xludf.DUMMYFUNCTION("""COMPUTED_VALUE"""),"06670002")</f>
        <v>06670002</v>
      </c>
      <c r="F346" s="48" t="str">
        <f ca="1">IFERROR(__xludf.DUMMYFUNCTION("""COMPUTED_VALUE"""),"STRASBOURG ST JEAN CS 1852")</f>
        <v>STRASBOURG ST JEAN CS 1852</v>
      </c>
      <c r="G346" s="50" t="str">
        <f ca="1">IFERROR(__xludf.DUMMYFUNCTION("""COMPUTED_VALUE"""),"CD67")</f>
        <v>CD67</v>
      </c>
      <c r="H346" s="50" t="str">
        <f ca="1">IFERROR(__xludf.DUMMYFUNCTION("""COMPUTED_VALUE"""),"actif")</f>
        <v>actif</v>
      </c>
    </row>
    <row r="347" spans="1:8" ht="12.75">
      <c r="A347" s="46">
        <f ca="1">IFERROR(__xludf.DUMMYFUNCTION("""COMPUTED_VALUE"""),335)</f>
        <v>335</v>
      </c>
      <c r="B347" s="65" t="str">
        <f ca="1">IFERROR(__xludf.DUMMYFUNCTION("""COMPUTED_VALUE"""),"684245")</f>
        <v>684245</v>
      </c>
      <c r="C347" s="48" t="str">
        <f ca="1">IFERROR(__xludf.DUMMYFUNCTION("""COMPUTED_VALUE"""),"SCHWARZ")</f>
        <v>SCHWARZ</v>
      </c>
      <c r="D347" s="48" t="str">
        <f ca="1">IFERROR(__xludf.DUMMYFUNCTION("""COMPUTED_VALUE"""),"Christian")</f>
        <v>Christian</v>
      </c>
      <c r="E347" s="49" t="str">
        <f ca="1">IFERROR(__xludf.DUMMYFUNCTION("""COMPUTED_VALUE"""),"06680111")</f>
        <v>06680111</v>
      </c>
      <c r="F347" s="48" t="str">
        <f ca="1">IFERROR(__xludf.DUMMYFUNCTION("""COMPUTED_VALUE"""),"THANN TENNIS DE TABLE CLUB")</f>
        <v>THANN TENNIS DE TABLE CLUB</v>
      </c>
      <c r="G347" s="50" t="str">
        <f ca="1">IFERROR(__xludf.DUMMYFUNCTION("""COMPUTED_VALUE"""),"CD68")</f>
        <v>CD68</v>
      </c>
      <c r="H347" s="50" t="str">
        <f ca="1">IFERROR(__xludf.DUMMYFUNCTION("""COMPUTED_VALUE"""),"inactivité 1ère année")</f>
        <v>inactivité 1ère année</v>
      </c>
    </row>
    <row r="348" spans="1:8" ht="12.75">
      <c r="A348" s="46">
        <f ca="1">IFERROR(__xludf.DUMMYFUNCTION("""COMPUTED_VALUE"""),336)</f>
        <v>336</v>
      </c>
      <c r="B348" s="65" t="str">
        <f ca="1">IFERROR(__xludf.DUMMYFUNCTION("""COMPUTED_VALUE"""),"684244")</f>
        <v>684244</v>
      </c>
      <c r="C348" s="48" t="str">
        <f ca="1">IFERROR(__xludf.DUMMYFUNCTION("""COMPUTED_VALUE"""),"SCHWARZ")</f>
        <v>SCHWARZ</v>
      </c>
      <c r="D348" s="48" t="str">
        <f ca="1">IFERROR(__xludf.DUMMYFUNCTION("""COMPUTED_VALUE"""),"Laurent")</f>
        <v>Laurent</v>
      </c>
      <c r="E348" s="49" t="str">
        <f ca="1">IFERROR(__xludf.DUMMYFUNCTION("""COMPUTED_VALUE"""),"06680111")</f>
        <v>06680111</v>
      </c>
      <c r="F348" s="48" t="str">
        <f ca="1">IFERROR(__xludf.DUMMYFUNCTION("""COMPUTED_VALUE"""),"THANN TENNIS DE TABLE CLUB")</f>
        <v>THANN TENNIS DE TABLE CLUB</v>
      </c>
      <c r="G348" s="50" t="str">
        <f ca="1">IFERROR(__xludf.DUMMYFUNCTION("""COMPUTED_VALUE"""),"CD68")</f>
        <v>CD68</v>
      </c>
      <c r="H348" s="50" t="str">
        <f ca="1">IFERROR(__xludf.DUMMYFUNCTION("""COMPUTED_VALUE"""),"inactivité 1ère année")</f>
        <v>inactivité 1ère année</v>
      </c>
    </row>
    <row r="349" spans="1:8" ht="12.75">
      <c r="A349" s="46">
        <f ca="1">IFERROR(__xludf.DUMMYFUNCTION("""COMPUTED_VALUE"""),337)</f>
        <v>337</v>
      </c>
      <c r="B349" s="65" t="str">
        <f ca="1">IFERROR(__xludf.DUMMYFUNCTION("""COMPUTED_VALUE"""),"881963")</f>
        <v>881963</v>
      </c>
      <c r="C349" s="48" t="str">
        <f ca="1">IFERROR(__xludf.DUMMYFUNCTION("""COMPUTED_VALUE"""),"SEVERIN")</f>
        <v>SEVERIN</v>
      </c>
      <c r="D349" s="48" t="str">
        <f ca="1">IFERROR(__xludf.DUMMYFUNCTION("""COMPUTED_VALUE"""),"Jean Louis")</f>
        <v>Jean Louis</v>
      </c>
      <c r="E349" s="49" t="str">
        <f ca="1">IFERROR(__xludf.DUMMYFUNCTION("""COMPUTED_VALUE"""),"06880022")</f>
        <v>06880022</v>
      </c>
      <c r="F349" s="48" t="str">
        <f ca="1">IFERROR(__xludf.DUMMYFUNCTION("""COMPUTED_VALUE"""),"VITTEL SAINT REMY TT")</f>
        <v>VITTEL SAINT REMY TT</v>
      </c>
      <c r="G349" s="50" t="str">
        <f ca="1">IFERROR(__xludf.DUMMYFUNCTION("""COMPUTED_VALUE"""),"CD88")</f>
        <v>CD88</v>
      </c>
      <c r="H349" s="50" t="str">
        <f ca="1">IFERROR(__xludf.DUMMYFUNCTION("""COMPUTED_VALUE"""),"inactivité 2ème année")</f>
        <v>inactivité 2ème année</v>
      </c>
    </row>
    <row r="350" spans="1:8" ht="12.75">
      <c r="A350" s="46">
        <f ca="1">IFERROR(__xludf.DUMMYFUNCTION("""COMPUTED_VALUE"""),338)</f>
        <v>338</v>
      </c>
      <c r="B350" s="65" t="str">
        <f ca="1">IFERROR(__xludf.DUMMYFUNCTION("""COMPUTED_VALUE"""),"6714381")</f>
        <v>6714381</v>
      </c>
      <c r="C350" s="48" t="str">
        <f ca="1">IFERROR(__xludf.DUMMYFUNCTION("""COMPUTED_VALUE"""),"SIGRIST")</f>
        <v>SIGRIST</v>
      </c>
      <c r="D350" s="48" t="str">
        <f ca="1">IFERROR(__xludf.DUMMYFUNCTION("""COMPUTED_VALUE"""),"Guillaume")</f>
        <v>Guillaume</v>
      </c>
      <c r="E350" s="49" t="str">
        <f ca="1">IFERROR(__xludf.DUMMYFUNCTION("""COMPUTED_VALUE"""),"06670248")</f>
        <v>06670248</v>
      </c>
      <c r="F350" s="48" t="str">
        <f ca="1">IFERROR(__xludf.DUMMYFUNCTION("""COMPUTED_VALUE"""),"MARMOUTIER CSE")</f>
        <v>MARMOUTIER CSE</v>
      </c>
      <c r="G350" s="50" t="str">
        <f ca="1">IFERROR(__xludf.DUMMYFUNCTION("""COMPUTED_VALUE"""),"CD67")</f>
        <v>CD67</v>
      </c>
      <c r="H350" s="50" t="str">
        <f ca="1">IFERROR(__xludf.DUMMYFUNCTION("""COMPUTED_VALUE"""),"inactivité 3ème année")</f>
        <v>inactivité 3ème année</v>
      </c>
    </row>
    <row r="351" spans="1:8" ht="12.75">
      <c r="A351" s="46">
        <f ca="1">IFERROR(__xludf.DUMMYFUNCTION("""COMPUTED_VALUE"""),339)</f>
        <v>339</v>
      </c>
      <c r="B351" s="65" t="str">
        <f ca="1">IFERROR(__xludf.DUMMYFUNCTION("""COMPUTED_VALUE"""),"103249")</f>
        <v>103249</v>
      </c>
      <c r="C351" s="48" t="str">
        <f ca="1">IFERROR(__xludf.DUMMYFUNCTION("""COMPUTED_VALUE"""),"SILIPHAYBOUNE")</f>
        <v>SILIPHAYBOUNE</v>
      </c>
      <c r="D351" s="71" t="str">
        <f ca="1">IFERROR(__xludf.DUMMYFUNCTION("""COMPUTED_VALUE"""),"Francoise")</f>
        <v>Francoise</v>
      </c>
      <c r="E351" s="73" t="str">
        <f ca="1">IFERROR(__xludf.DUMMYFUNCTION("""COMPUTED_VALUE"""),"06100005")</f>
        <v>06100005</v>
      </c>
      <c r="F351" s="72" t="str">
        <f ca="1">IFERROR(__xludf.DUMMYFUNCTION("""COMPUTED_VALUE"""),"ROMILLY SPORTS 10")</f>
        <v>ROMILLY SPORTS 10</v>
      </c>
      <c r="G351" s="52" t="str">
        <f ca="1">IFERROR(__xludf.DUMMYFUNCTION("""COMPUTED_VALUE"""),"CD10")</f>
        <v>CD10</v>
      </c>
      <c r="H351" s="52" t="str">
        <f ca="1">IFERROR(__xludf.DUMMYFUNCTION("""COMPUTED_VALUE"""),"inactivité 1ère année")</f>
        <v>inactivité 1ère année</v>
      </c>
    </row>
    <row r="352" spans="1:8" ht="12.75">
      <c r="A352" s="46">
        <f ca="1">IFERROR(__xludf.DUMMYFUNCTION("""COMPUTED_VALUE"""),340)</f>
        <v>340</v>
      </c>
      <c r="B352" s="65" t="str">
        <f ca="1">IFERROR(__xludf.DUMMYFUNCTION("""COMPUTED_VALUE"""),"0810737")</f>
        <v>0810737</v>
      </c>
      <c r="C352" s="48" t="str">
        <f ca="1">IFERROR(__xludf.DUMMYFUNCTION("""COMPUTED_VALUE"""),"SIMON")</f>
        <v>SIMON</v>
      </c>
      <c r="D352" s="48" t="str">
        <f ca="1">IFERROR(__xludf.DUMMYFUNCTION("""COMPUTED_VALUE"""),"Mathieu")</f>
        <v>Mathieu</v>
      </c>
      <c r="E352" s="49" t="str">
        <f ca="1">IFERROR(__xludf.DUMMYFUNCTION("""COMPUTED_VALUE"""),"06080004")</f>
        <v>06080004</v>
      </c>
      <c r="F352" s="48" t="str">
        <f ca="1">IFERROR(__xludf.DUMMYFUNCTION("""COMPUTED_VALUE"""),"SEDAN TT")</f>
        <v>SEDAN TT</v>
      </c>
      <c r="G352" s="50" t="str">
        <f ca="1">IFERROR(__xludf.DUMMYFUNCTION("""COMPUTED_VALUE"""),"CD08")</f>
        <v>CD08</v>
      </c>
      <c r="H352" s="50" t="str">
        <f ca="1">IFERROR(__xludf.DUMMYFUNCTION("""COMPUTED_VALUE"""),"inactivité 3ème année")</f>
        <v>inactivité 3ème année</v>
      </c>
    </row>
    <row r="353" spans="1:8" ht="12.75">
      <c r="A353" s="46">
        <f ca="1">IFERROR(__xludf.DUMMYFUNCTION("""COMPUTED_VALUE"""),341)</f>
        <v>341</v>
      </c>
      <c r="B353" s="65" t="str">
        <f ca="1">IFERROR(__xludf.DUMMYFUNCTION("""COMPUTED_VALUE"""),"685758")</f>
        <v>685758</v>
      </c>
      <c r="C353" s="48" t="str">
        <f ca="1">IFERROR(__xludf.DUMMYFUNCTION("""COMPUTED_VALUE"""),"SIMONUTTI")</f>
        <v>SIMONUTTI</v>
      </c>
      <c r="D353" s="48" t="str">
        <f ca="1">IFERROR(__xludf.DUMMYFUNCTION("""COMPUTED_VALUE"""),"Dino")</f>
        <v>Dino</v>
      </c>
      <c r="E353" s="49" t="str">
        <f ca="1">IFERROR(__xludf.DUMMYFUNCTION("""COMPUTED_VALUE"""),"06680080")</f>
        <v>06680080</v>
      </c>
      <c r="F353" s="48" t="str">
        <f ca="1">IFERROR(__xludf.DUMMYFUNCTION("""COMPUTED_VALUE"""),"COLMAR AJE")</f>
        <v>COLMAR AJE</v>
      </c>
      <c r="G353" s="50" t="str">
        <f ca="1">IFERROR(__xludf.DUMMYFUNCTION("""COMPUTED_VALUE"""),"CD68")</f>
        <v>CD68</v>
      </c>
      <c r="H353" s="50" t="str">
        <f ca="1">IFERROR(__xludf.DUMMYFUNCTION("""COMPUTED_VALUE"""),"actif")</f>
        <v>actif</v>
      </c>
    </row>
    <row r="354" spans="1:8" ht="12.75">
      <c r="A354" s="46">
        <f ca="1">IFERROR(__xludf.DUMMYFUNCTION("""COMPUTED_VALUE"""),342)</f>
        <v>342</v>
      </c>
      <c r="B354" s="65" t="str">
        <f ca="1">IFERROR(__xludf.DUMMYFUNCTION("""COMPUTED_VALUE"""),"8816500")</f>
        <v>8816500</v>
      </c>
      <c r="C354" s="48" t="str">
        <f ca="1">IFERROR(__xludf.DUMMYFUNCTION("""COMPUTED_VALUE"""),"SONNEFRAUD")</f>
        <v>SONNEFRAUD</v>
      </c>
      <c r="D354" s="48" t="str">
        <f ca="1">IFERROR(__xludf.DUMMYFUNCTION("""COMPUTED_VALUE"""),"Emilie")</f>
        <v>Emilie</v>
      </c>
      <c r="E354" s="49" t="str">
        <f ca="1">IFERROR(__xludf.DUMMYFUNCTION("""COMPUTED_VALUE"""),"06880010")</f>
        <v>06880010</v>
      </c>
      <c r="F354" s="48" t="str">
        <f ca="1">IFERROR(__xludf.DUMMYFUNCTION("""COMPUTED_VALUE"""),"SAINT DIE SRDTT")</f>
        <v>SAINT DIE SRDTT</v>
      </c>
      <c r="G354" s="50" t="str">
        <f ca="1">IFERROR(__xludf.DUMMYFUNCTION("""COMPUTED_VALUE"""),"CD88")</f>
        <v>CD88</v>
      </c>
      <c r="H354" s="50" t="str">
        <f ca="1">IFERROR(__xludf.DUMMYFUNCTION("""COMPUTED_VALUE"""),"inactivité 3ème année")</f>
        <v>inactivité 3ème année</v>
      </c>
    </row>
    <row r="355" spans="1:8" ht="12.75">
      <c r="A355" s="46">
        <f ca="1">IFERROR(__xludf.DUMMYFUNCTION("""COMPUTED_VALUE"""),343)</f>
        <v>343</v>
      </c>
      <c r="B355" s="65" t="str">
        <f ca="1">IFERROR(__xludf.DUMMYFUNCTION("""COMPUTED_VALUE"""),"8816287")</f>
        <v>8816287</v>
      </c>
      <c r="C355" s="48" t="str">
        <f ca="1">IFERROR(__xludf.DUMMYFUNCTION("""COMPUTED_VALUE"""),"SONNEFRAUD")</f>
        <v>SONNEFRAUD</v>
      </c>
      <c r="D355" s="48" t="str">
        <f ca="1">IFERROR(__xludf.DUMMYFUNCTION("""COMPUTED_VALUE"""),"Laurent")</f>
        <v>Laurent</v>
      </c>
      <c r="E355" s="49" t="str">
        <f ca="1">IFERROR(__xludf.DUMMYFUNCTION("""COMPUTED_VALUE"""),"06880010")</f>
        <v>06880010</v>
      </c>
      <c r="F355" s="48" t="str">
        <f ca="1">IFERROR(__xludf.DUMMYFUNCTION("""COMPUTED_VALUE"""),"SAINT DIE SRDTT")</f>
        <v>SAINT DIE SRDTT</v>
      </c>
      <c r="G355" s="50" t="str">
        <f ca="1">IFERROR(__xludf.DUMMYFUNCTION("""COMPUTED_VALUE"""),"CD88")</f>
        <v>CD88</v>
      </c>
      <c r="H355" s="50" t="str">
        <f ca="1">IFERROR(__xludf.DUMMYFUNCTION("""COMPUTED_VALUE"""),"inactivité 3ème année")</f>
        <v>inactivité 3ème année</v>
      </c>
    </row>
    <row r="356" spans="1:8" ht="12.75">
      <c r="A356" s="46">
        <f ca="1">IFERROR(__xludf.DUMMYFUNCTION("""COMPUTED_VALUE"""),344)</f>
        <v>344</v>
      </c>
      <c r="B356" s="65" t="str">
        <f ca="1">IFERROR(__xludf.DUMMYFUNCTION("""COMPUTED_VALUE"""),"5110435")</f>
        <v>5110435</v>
      </c>
      <c r="C356" s="48" t="str">
        <f ca="1">IFERROR(__xludf.DUMMYFUNCTION("""COMPUTED_VALUE"""),"SOUCHON")</f>
        <v>SOUCHON</v>
      </c>
      <c r="D356" s="48" t="str">
        <f ca="1">IFERROR(__xludf.DUMMYFUNCTION("""COMPUTED_VALUE"""),"Pierre-Francois")</f>
        <v>Pierre-Francois</v>
      </c>
      <c r="E356" s="49" t="str">
        <f ca="1">IFERROR(__xludf.DUMMYFUNCTION("""COMPUTED_VALUE"""),"06510107")</f>
        <v>06510107</v>
      </c>
      <c r="F356" s="48" t="str">
        <f ca="1">IFERROR(__xludf.DUMMYFUNCTION("""COMPUTED_VALUE"""),"GUEUX TINQUEUX ASTT")</f>
        <v>GUEUX TINQUEUX ASTT</v>
      </c>
      <c r="G356" s="50" t="str">
        <f ca="1">IFERROR(__xludf.DUMMYFUNCTION("""COMPUTED_VALUE"""),"CD51")</f>
        <v>CD51</v>
      </c>
      <c r="H356" s="50" t="str">
        <f ca="1">IFERROR(__xludf.DUMMYFUNCTION("""COMPUTED_VALUE"""),"inactivité 1ère année")</f>
        <v>inactivité 1ère année</v>
      </c>
    </row>
    <row r="357" spans="1:8" ht="12.75">
      <c r="A357" s="46">
        <f ca="1">IFERROR(__xludf.DUMMYFUNCTION("""COMPUTED_VALUE"""),345)</f>
        <v>345</v>
      </c>
      <c r="B357" s="65" t="str">
        <f ca="1">IFERROR(__xludf.DUMMYFUNCTION("""COMPUTED_VALUE"""),"543136")</f>
        <v>543136</v>
      </c>
      <c r="C357" s="48" t="str">
        <f ca="1">IFERROR(__xludf.DUMMYFUNCTION("""COMPUTED_VALUE"""),"SOUDANT")</f>
        <v>SOUDANT</v>
      </c>
      <c r="D357" s="48" t="str">
        <f ca="1">IFERROR(__xludf.DUMMYFUNCTION("""COMPUTED_VALUE"""),"Claude")</f>
        <v>Claude</v>
      </c>
      <c r="E357" s="49" t="str">
        <f ca="1">IFERROR(__xludf.DUMMYFUNCTION("""COMPUTED_VALUE"""),"06540115")</f>
        <v>06540115</v>
      </c>
      <c r="F357" s="48" t="str">
        <f ca="1">IFERROR(__xludf.DUMMYFUNCTION("""COMPUTED_VALUE"""),"HERIMENIL T.T.")</f>
        <v>HERIMENIL T.T.</v>
      </c>
      <c r="G357" s="50" t="str">
        <f ca="1">IFERROR(__xludf.DUMMYFUNCTION("""COMPUTED_VALUE"""),"CD54")</f>
        <v>CD54</v>
      </c>
      <c r="H357" s="50" t="str">
        <f ca="1">IFERROR(__xludf.DUMMYFUNCTION("""COMPUTED_VALUE"""),"actif")</f>
        <v>actif</v>
      </c>
    </row>
    <row r="358" spans="1:8" ht="12.75">
      <c r="A358" s="46">
        <f ca="1">IFERROR(__xludf.DUMMYFUNCTION("""COMPUTED_VALUE"""),346)</f>
        <v>346</v>
      </c>
      <c r="B358" s="65" t="str">
        <f ca="1">IFERROR(__xludf.DUMMYFUNCTION("""COMPUTED_VALUE"""),"5413827")</f>
        <v>5413827</v>
      </c>
      <c r="C358" s="48" t="str">
        <f ca="1">IFERROR(__xludf.DUMMYFUNCTION("""COMPUTED_VALUE"""),"SOUDANT")</f>
        <v>SOUDANT</v>
      </c>
      <c r="D358" s="48" t="str">
        <f ca="1">IFERROR(__xludf.DUMMYFUNCTION("""COMPUTED_VALUE"""),"Mikael")</f>
        <v>Mikael</v>
      </c>
      <c r="E358" s="49" t="str">
        <f ca="1">IFERROR(__xludf.DUMMYFUNCTION("""COMPUTED_VALUE"""),"06540115")</f>
        <v>06540115</v>
      </c>
      <c r="F358" s="48" t="str">
        <f ca="1">IFERROR(__xludf.DUMMYFUNCTION("""COMPUTED_VALUE"""),"HERIMENIL T.T.")</f>
        <v>HERIMENIL T.T.</v>
      </c>
      <c r="G358" s="50" t="str">
        <f ca="1">IFERROR(__xludf.DUMMYFUNCTION("""COMPUTED_VALUE"""),"CD54")</f>
        <v>CD54</v>
      </c>
      <c r="H358" s="50" t="str">
        <f ca="1">IFERROR(__xludf.DUMMYFUNCTION("""COMPUTED_VALUE"""),"inactivité 2ème année")</f>
        <v>inactivité 2ème année</v>
      </c>
    </row>
    <row r="359" spans="1:8" ht="12.75">
      <c r="A359" s="46">
        <f ca="1">IFERROR(__xludf.DUMMYFUNCTION("""COMPUTED_VALUE"""),347)</f>
        <v>347</v>
      </c>
      <c r="B359" s="65" t="str">
        <f ca="1">IFERROR(__xludf.DUMMYFUNCTION("""COMPUTED_VALUE"""),"104511")</f>
        <v>104511</v>
      </c>
      <c r="C359" s="48" t="str">
        <f ca="1">IFERROR(__xludf.DUMMYFUNCTION("""COMPUTED_VALUE"""),"SOUVERAIN")</f>
        <v>SOUVERAIN</v>
      </c>
      <c r="D359" s="48" t="str">
        <f ca="1">IFERROR(__xludf.DUMMYFUNCTION("""COMPUTED_VALUE"""),"Thierry")</f>
        <v>Thierry</v>
      </c>
      <c r="E359" s="49" t="str">
        <f ca="1">IFERROR(__xludf.DUMMYFUNCTION("""COMPUTED_VALUE"""),"06100004")</f>
        <v>06100004</v>
      </c>
      <c r="F359" s="48" t="str">
        <f ca="1">IFERROR(__xludf.DUMMYFUNCTION("""COMPUTED_VALUE"""),"MOUSSEY CS")</f>
        <v>MOUSSEY CS</v>
      </c>
      <c r="G359" s="50" t="str">
        <f ca="1">IFERROR(__xludf.DUMMYFUNCTION("""COMPUTED_VALUE"""),"CD10")</f>
        <v>CD10</v>
      </c>
      <c r="H359" s="50" t="str">
        <f ca="1">IFERROR(__xludf.DUMMYFUNCTION("""COMPUTED_VALUE"""),"inactivité 1ère année")</f>
        <v>inactivité 1ère année</v>
      </c>
    </row>
    <row r="360" spans="1:8" ht="12.75">
      <c r="A360" s="46">
        <f ca="1">IFERROR(__xludf.DUMMYFUNCTION("""COMPUTED_VALUE"""),348)</f>
        <v>348</v>
      </c>
      <c r="B360" s="65" t="str">
        <f ca="1">IFERROR(__xludf.DUMMYFUNCTION("""COMPUTED_VALUE"""),"885790")</f>
        <v>885790</v>
      </c>
      <c r="C360" s="48" t="str">
        <f ca="1">IFERROR(__xludf.DUMMYFUNCTION("""COMPUTED_VALUE"""),"STARK")</f>
        <v>STARK</v>
      </c>
      <c r="D360" s="48" t="str">
        <f ca="1">IFERROR(__xludf.DUMMYFUNCTION("""COMPUTED_VALUE"""),"Vincent")</f>
        <v>Vincent</v>
      </c>
      <c r="E360" s="49" t="str">
        <f ca="1">IFERROR(__xludf.DUMMYFUNCTION("""COMPUTED_VALUE"""),"06880066")</f>
        <v>06880066</v>
      </c>
      <c r="F360" s="48" t="str">
        <f ca="1">IFERROR(__xludf.DUMMYFUNCTION("""COMPUTED_VALUE"""),"ELOYES C.L.L.T.T.")</f>
        <v>ELOYES C.L.L.T.T.</v>
      </c>
      <c r="G360" s="50" t="str">
        <f ca="1">IFERROR(__xludf.DUMMYFUNCTION("""COMPUTED_VALUE"""),"CD88")</f>
        <v>CD88</v>
      </c>
      <c r="H360" s="50" t="str">
        <f ca="1">IFERROR(__xludf.DUMMYFUNCTION("""COMPUTED_VALUE"""),"inactivité 1ère année")</f>
        <v>inactivité 1ère année</v>
      </c>
    </row>
    <row r="361" spans="1:8" ht="12.75">
      <c r="A361" s="46">
        <f ca="1">IFERROR(__xludf.DUMMYFUNCTION("""COMPUTED_VALUE"""),349)</f>
        <v>349</v>
      </c>
      <c r="B361" s="65" t="str">
        <f ca="1">IFERROR(__xludf.DUMMYFUNCTION("""COMPUTED_VALUE"""),"5730406")</f>
        <v>5730406</v>
      </c>
      <c r="C361" s="48" t="str">
        <f ca="1">IFERROR(__xludf.DUMMYFUNCTION("""COMPUTED_VALUE"""),"STAUDT")</f>
        <v>STAUDT</v>
      </c>
      <c r="D361" s="48" t="str">
        <f ca="1">IFERROR(__xludf.DUMMYFUNCTION("""COMPUTED_VALUE"""),"Patrick")</f>
        <v>Patrick</v>
      </c>
      <c r="E361" s="49" t="str">
        <f ca="1">IFERROR(__xludf.DUMMYFUNCTION("""COMPUTED_VALUE"""),"06570019")</f>
        <v>06570019</v>
      </c>
      <c r="F361" s="48" t="str">
        <f ca="1">IFERROR(__xludf.DUMMYFUNCTION("""COMPUTED_VALUE"""),"SAINT AVOLD C.T.T.")</f>
        <v>SAINT AVOLD C.T.T.</v>
      </c>
      <c r="G361" s="50" t="str">
        <f ca="1">IFERROR(__xludf.DUMMYFUNCTION("""COMPUTED_VALUE"""),"CD57")</f>
        <v>CD57</v>
      </c>
      <c r="H361" s="50" t="str">
        <f ca="1">IFERROR(__xludf.DUMMYFUNCTION("""COMPUTED_VALUE"""),"actif")</f>
        <v>actif</v>
      </c>
    </row>
    <row r="362" spans="1:8" ht="12.75">
      <c r="A362" s="46">
        <f ca="1">IFERROR(__xludf.DUMMYFUNCTION("""COMPUTED_VALUE"""),350)</f>
        <v>350</v>
      </c>
      <c r="B362" s="66" t="str">
        <f ca="1">IFERROR(__xludf.DUMMYFUNCTION("""COMPUTED_VALUE"""),"5422994")</f>
        <v>5422994</v>
      </c>
      <c r="C362" s="67" t="str">
        <f ca="1">IFERROR(__xludf.DUMMYFUNCTION("""COMPUTED_VALUE"""),"STEFFAN")</f>
        <v>STEFFAN</v>
      </c>
      <c r="D362" s="68" t="str">
        <f ca="1">IFERROR(__xludf.DUMMYFUNCTION("""COMPUTED_VALUE"""),"Denis")</f>
        <v>Denis</v>
      </c>
      <c r="E362" s="69" t="str">
        <f ca="1">IFERROR(__xludf.DUMMYFUNCTION("""COMPUTED_VALUE"""),"06540187")</f>
        <v>06540187</v>
      </c>
      <c r="F362" s="68" t="str">
        <f ca="1">IFERROR(__xludf.DUMMYFUNCTION("""COMPUTED_VALUE"""),"CHAMPIGNEULLES Tennis de Table")</f>
        <v>CHAMPIGNEULLES Tennis de Table</v>
      </c>
      <c r="G362" s="51" t="str">
        <f ca="1">IFERROR(__xludf.DUMMYFUNCTION("""COMPUTED_VALUE"""),"CD54")</f>
        <v>CD54</v>
      </c>
      <c r="H362" s="51" t="str">
        <f ca="1">IFERROR(__xludf.DUMMYFUNCTION("""COMPUTED_VALUE"""),"inactivité 2ème année")</f>
        <v>inactivité 2ème année</v>
      </c>
    </row>
    <row r="363" spans="1:8" ht="12.75">
      <c r="A363" s="46">
        <f ca="1">IFERROR(__xludf.DUMMYFUNCTION("""COMPUTED_VALUE"""),351)</f>
        <v>351</v>
      </c>
      <c r="B363" s="65" t="str">
        <f ca="1">IFERROR(__xludf.DUMMYFUNCTION("""COMPUTED_VALUE"""),"8811261")</f>
        <v>8811261</v>
      </c>
      <c r="C363" s="48" t="str">
        <f ca="1">IFERROR(__xludf.DUMMYFUNCTION("""COMPUTED_VALUE"""),"STOCARD")</f>
        <v>STOCARD</v>
      </c>
      <c r="D363" s="48" t="str">
        <f ca="1">IFERROR(__xludf.DUMMYFUNCTION("""COMPUTED_VALUE"""),"Alban")</f>
        <v>Alban</v>
      </c>
      <c r="E363" s="49" t="str">
        <f ca="1">IFERROR(__xludf.DUMMYFUNCTION("""COMPUTED_VALUE"""),"06880002")</f>
        <v>06880002</v>
      </c>
      <c r="F363" s="48" t="str">
        <f ca="1">IFERROR(__xludf.DUMMYFUNCTION("""COMPUTED_VALUE"""),"ANOULD Cercle Pongiste")</f>
        <v>ANOULD Cercle Pongiste</v>
      </c>
      <c r="G363" s="50" t="str">
        <f ca="1">IFERROR(__xludf.DUMMYFUNCTION("""COMPUTED_VALUE"""),"CD88")</f>
        <v>CD88</v>
      </c>
      <c r="H363" s="50" t="str">
        <f ca="1">IFERROR(__xludf.DUMMYFUNCTION("""COMPUTED_VALUE"""),"inactivité 3ème année")</f>
        <v>inactivité 3ème année</v>
      </c>
    </row>
    <row r="364" spans="1:8" ht="12.75">
      <c r="A364" s="46">
        <f ca="1">IFERROR(__xludf.DUMMYFUNCTION("""COMPUTED_VALUE"""),352)</f>
        <v>352</v>
      </c>
      <c r="B364" s="65" t="str">
        <f ca="1">IFERROR(__xludf.DUMMYFUNCTION("""COMPUTED_VALUE"""),"217169")</f>
        <v>217169</v>
      </c>
      <c r="C364" s="48" t="str">
        <f ca="1">IFERROR(__xludf.DUMMYFUNCTION("""COMPUTED_VALUE"""),"STOCK")</f>
        <v>STOCK</v>
      </c>
      <c r="D364" s="48" t="str">
        <f ca="1">IFERROR(__xludf.DUMMYFUNCTION("""COMPUTED_VALUE"""),"Jerome")</f>
        <v>Jerome</v>
      </c>
      <c r="E364" s="49" t="str">
        <f ca="1">IFERROR(__xludf.DUMMYFUNCTION("""COMPUTED_VALUE"""),"06570190")</f>
        <v>06570190</v>
      </c>
      <c r="F364" s="48" t="str">
        <f ca="1">IFERROR(__xludf.DUMMYFUNCTION("""COMPUTED_VALUE"""),"METZ Tennis de Table")</f>
        <v>METZ Tennis de Table</v>
      </c>
      <c r="G364" s="50" t="str">
        <f ca="1">IFERROR(__xludf.DUMMYFUNCTION("""COMPUTED_VALUE"""),"CD57")</f>
        <v>CD57</v>
      </c>
      <c r="H364" s="50" t="str">
        <f ca="1">IFERROR(__xludf.DUMMYFUNCTION("""COMPUTED_VALUE"""),"actif")</f>
        <v>actif</v>
      </c>
    </row>
    <row r="365" spans="1:8" ht="12.75">
      <c r="A365" s="46">
        <f ca="1">IFERROR(__xludf.DUMMYFUNCTION("""COMPUTED_VALUE"""),353)</f>
        <v>353</v>
      </c>
      <c r="B365" s="65" t="str">
        <f ca="1">IFERROR(__xludf.DUMMYFUNCTION("""COMPUTED_VALUE"""),"102330")</f>
        <v>102330</v>
      </c>
      <c r="C365" s="48" t="str">
        <f ca="1">IFERROR(__xludf.DUMMYFUNCTION("""COMPUTED_VALUE"""),"STOLTZ")</f>
        <v>STOLTZ</v>
      </c>
      <c r="D365" s="48" t="str">
        <f ca="1">IFERROR(__xludf.DUMMYFUNCTION("""COMPUTED_VALUE"""),"Roland")</f>
        <v>Roland</v>
      </c>
      <c r="E365" s="49" t="str">
        <f ca="1">IFERROR(__xludf.DUMMYFUNCTION("""COMPUTED_VALUE"""),"06100002")</f>
        <v>06100002</v>
      </c>
      <c r="F365" s="48" t="str">
        <f ca="1">IFERROR(__xludf.DUMMYFUNCTION("""COMPUTED_VALUE"""),"TROYES O.S - NOËS TT")</f>
        <v>TROYES O.S - NOËS TT</v>
      </c>
      <c r="G365" s="50" t="str">
        <f ca="1">IFERROR(__xludf.DUMMYFUNCTION("""COMPUTED_VALUE"""),"CD10")</f>
        <v>CD10</v>
      </c>
      <c r="H365" s="50" t="str">
        <f ca="1">IFERROR(__xludf.DUMMYFUNCTION("""COMPUTED_VALUE"""),"inactivité 3ème année")</f>
        <v>inactivité 3ème année</v>
      </c>
    </row>
    <row r="366" spans="1:8" ht="12.75">
      <c r="A366" s="46">
        <f ca="1">IFERROR(__xludf.DUMMYFUNCTION("""COMPUTED_VALUE"""),354)</f>
        <v>354</v>
      </c>
      <c r="B366" s="65" t="str">
        <f ca="1">IFERROR(__xludf.DUMMYFUNCTION("""COMPUTED_VALUE"""),"571719")</f>
        <v>571719</v>
      </c>
      <c r="C366" s="48" t="str">
        <f ca="1">IFERROR(__xludf.DUMMYFUNCTION("""COMPUTED_VALUE"""),"STREIT")</f>
        <v>STREIT</v>
      </c>
      <c r="D366" s="48" t="str">
        <f ca="1">IFERROR(__xludf.DUMMYFUNCTION("""COMPUTED_VALUE"""),"Pierre")</f>
        <v>Pierre</v>
      </c>
      <c r="E366" s="49" t="str">
        <f ca="1">IFERROR(__xludf.DUMMYFUNCTION("""COMPUTED_VALUE"""),"06570088")</f>
        <v>06570088</v>
      </c>
      <c r="F366" s="48" t="str">
        <f ca="1">IFERROR(__xludf.DUMMYFUNCTION("""COMPUTED_VALUE"""),"CREUTZWALD E.P.")</f>
        <v>CREUTZWALD E.P.</v>
      </c>
      <c r="G366" s="50" t="str">
        <f ca="1">IFERROR(__xludf.DUMMYFUNCTION("""COMPUTED_VALUE"""),"CD57")</f>
        <v>CD57</v>
      </c>
      <c r="H366" s="50" t="str">
        <f ca="1">IFERROR(__xludf.DUMMYFUNCTION("""COMPUTED_VALUE"""),"inactivité 3ème année")</f>
        <v>inactivité 3ème année</v>
      </c>
    </row>
    <row r="367" spans="1:8" ht="12.75">
      <c r="A367" s="46">
        <f ca="1">IFERROR(__xludf.DUMMYFUNCTION("""COMPUTED_VALUE"""),355)</f>
        <v>355</v>
      </c>
      <c r="B367" s="65" t="str">
        <f ca="1">IFERROR(__xludf.DUMMYFUNCTION("""COMPUTED_VALUE"""),"681766")</f>
        <v>681766</v>
      </c>
      <c r="C367" s="48" t="str">
        <f ca="1">IFERROR(__xludf.DUMMYFUNCTION("""COMPUTED_VALUE"""),"STROSSER")</f>
        <v>STROSSER</v>
      </c>
      <c r="D367" s="48" t="str">
        <f ca="1">IFERROR(__xludf.DUMMYFUNCTION("""COMPUTED_VALUE"""),"Fabrice")</f>
        <v>Fabrice</v>
      </c>
      <c r="E367" s="49" t="str">
        <f ca="1">IFERROR(__xludf.DUMMYFUNCTION("""COMPUTED_VALUE"""),"06680082")</f>
        <v>06680082</v>
      </c>
      <c r="F367" s="48" t="str">
        <f ca="1">IFERROR(__xludf.DUMMYFUNCTION("""COMPUTED_VALUE"""),"SAINT-LOUIS TT")</f>
        <v>SAINT-LOUIS TT</v>
      </c>
      <c r="G367" s="50" t="str">
        <f ca="1">IFERROR(__xludf.DUMMYFUNCTION("""COMPUTED_VALUE"""),"CD68")</f>
        <v>CD68</v>
      </c>
      <c r="H367" s="50" t="str">
        <f ca="1">IFERROR(__xludf.DUMMYFUNCTION("""COMPUTED_VALUE"""),"inactivité 3ème année")</f>
        <v>inactivité 3ème année</v>
      </c>
    </row>
    <row r="368" spans="1:8" ht="12.75">
      <c r="A368" s="46">
        <f ca="1">IFERROR(__xludf.DUMMYFUNCTION("""COMPUTED_VALUE"""),356)</f>
        <v>356</v>
      </c>
      <c r="B368" s="65" t="str">
        <f ca="1">IFERROR(__xludf.DUMMYFUNCTION("""COMPUTED_VALUE"""),"678162")</f>
        <v>678162</v>
      </c>
      <c r="C368" s="48" t="str">
        <f ca="1">IFERROR(__xludf.DUMMYFUNCTION("""COMPUTED_VALUE"""),"STRUB")</f>
        <v>STRUB</v>
      </c>
      <c r="D368" s="48" t="str">
        <f ca="1">IFERROR(__xludf.DUMMYFUNCTION("""COMPUTED_VALUE"""),"Roland")</f>
        <v>Roland</v>
      </c>
      <c r="E368" s="49" t="str">
        <f ca="1">IFERROR(__xludf.DUMMYFUNCTION("""COMPUTED_VALUE"""),"06670216")</f>
        <v>06670216</v>
      </c>
      <c r="F368" s="48" t="str">
        <f ca="1">IFERROR(__xludf.DUMMYFUNCTION("""COMPUTED_VALUE"""),"HOERDT T.T.")</f>
        <v>HOERDT T.T.</v>
      </c>
      <c r="G368" s="50" t="str">
        <f ca="1">IFERROR(__xludf.DUMMYFUNCTION("""COMPUTED_VALUE"""),"CD67")</f>
        <v>CD67</v>
      </c>
      <c r="H368" s="50" t="str">
        <f ca="1">IFERROR(__xludf.DUMMYFUNCTION("""COMPUTED_VALUE"""),"inactivité 3ème année")</f>
        <v>inactivité 3ème année</v>
      </c>
    </row>
    <row r="369" spans="1:8" ht="12.75">
      <c r="A369" s="46">
        <f ca="1">IFERROR(__xludf.DUMMYFUNCTION("""COMPUTED_VALUE"""),357)</f>
        <v>357</v>
      </c>
      <c r="B369" s="65" t="str">
        <f ca="1">IFERROR(__xludf.DUMMYFUNCTION("""COMPUTED_VALUE"""),"6715282")</f>
        <v>6715282</v>
      </c>
      <c r="C369" s="48" t="str">
        <f ca="1">IFERROR(__xludf.DUMMYFUNCTION("""COMPUTED_VALUE"""),"TERMOZ")</f>
        <v>TERMOZ</v>
      </c>
      <c r="D369" s="48" t="str">
        <f ca="1">IFERROR(__xludf.DUMMYFUNCTION("""COMPUTED_VALUE"""),"Ryoji")</f>
        <v>Ryoji</v>
      </c>
      <c r="E369" s="49" t="str">
        <f ca="1">IFERROR(__xludf.DUMMYFUNCTION("""COMPUTED_VALUE"""),"06680011")</f>
        <v>06680011</v>
      </c>
      <c r="F369" s="48" t="str">
        <f ca="1">IFERROR(__xludf.DUMMYFUNCTION("""COMPUTED_VALUE"""),"RIXHEIM PPA")</f>
        <v>RIXHEIM PPA</v>
      </c>
      <c r="G369" s="50" t="str">
        <f ca="1">IFERROR(__xludf.DUMMYFUNCTION("""COMPUTED_VALUE"""),"CD68")</f>
        <v>CD68</v>
      </c>
      <c r="H369" s="50" t="str">
        <f ca="1">IFERROR(__xludf.DUMMYFUNCTION("""COMPUTED_VALUE"""),"inactivité 3ème année")</f>
        <v>inactivité 3ème année</v>
      </c>
    </row>
    <row r="370" spans="1:8" ht="12.75">
      <c r="A370" s="46">
        <f ca="1">IFERROR(__xludf.DUMMYFUNCTION("""COMPUTED_VALUE"""),358)</f>
        <v>358</v>
      </c>
      <c r="B370" s="65" t="str">
        <f ca="1">IFERROR(__xludf.DUMMYFUNCTION("""COMPUTED_VALUE"""),"5713856")</f>
        <v>5713856</v>
      </c>
      <c r="C370" s="48" t="str">
        <f ca="1">IFERROR(__xludf.DUMMYFUNCTION("""COMPUTED_VALUE"""),"THOMAS")</f>
        <v>THOMAS</v>
      </c>
      <c r="D370" s="48" t="str">
        <f ca="1">IFERROR(__xludf.DUMMYFUNCTION("""COMPUTED_VALUE"""),"Christian")</f>
        <v>Christian</v>
      </c>
      <c r="E370" s="49" t="str">
        <f ca="1">IFERROR(__xludf.DUMMYFUNCTION("""COMPUTED_VALUE"""),"06570111")</f>
        <v>06570111</v>
      </c>
      <c r="F370" s="48" t="str">
        <f ca="1">IFERROR(__xludf.DUMMYFUNCTION("""COMPUTED_VALUE"""),"SARREBOURG TT")</f>
        <v>SARREBOURG TT</v>
      </c>
      <c r="G370" s="50" t="str">
        <f ca="1">IFERROR(__xludf.DUMMYFUNCTION("""COMPUTED_VALUE"""),"CD57")</f>
        <v>CD57</v>
      </c>
      <c r="H370" s="50" t="str">
        <f ca="1">IFERROR(__xludf.DUMMYFUNCTION("""COMPUTED_VALUE"""),"inactivité 2ème année")</f>
        <v>inactivité 2ème année</v>
      </c>
    </row>
    <row r="371" spans="1:8" ht="12.75">
      <c r="A371" s="46">
        <f ca="1">IFERROR(__xludf.DUMMYFUNCTION("""COMPUTED_VALUE"""),359)</f>
        <v>359</v>
      </c>
      <c r="B371" s="65" t="str">
        <f ca="1">IFERROR(__xludf.DUMMYFUNCTION("""COMPUTED_VALUE"""),"889665")</f>
        <v>889665</v>
      </c>
      <c r="C371" s="48" t="str">
        <f ca="1">IFERROR(__xludf.DUMMYFUNCTION("""COMPUTED_VALUE"""),"THOMAS")</f>
        <v>THOMAS</v>
      </c>
      <c r="D371" s="48" t="str">
        <f ca="1">IFERROR(__xludf.DUMMYFUNCTION("""COMPUTED_VALUE"""),"Jean Paul")</f>
        <v>Jean Paul</v>
      </c>
      <c r="E371" s="49" t="str">
        <f ca="1">IFERROR(__xludf.DUMMYFUNCTION("""COMPUTED_VALUE"""),"06880083")</f>
        <v>06880083</v>
      </c>
      <c r="F371" s="48" t="str">
        <f ca="1">IFERROR(__xludf.DUMMYFUNCTION("""COMPUTED_VALUE"""),"XONRUPT A.S.C.X.L. T.T.")</f>
        <v>XONRUPT A.S.C.X.L. T.T.</v>
      </c>
      <c r="G371" s="50" t="str">
        <f ca="1">IFERROR(__xludf.DUMMYFUNCTION("""COMPUTED_VALUE"""),"CD88")</f>
        <v>CD88</v>
      </c>
      <c r="H371" s="50" t="str">
        <f ca="1">IFERROR(__xludf.DUMMYFUNCTION("""COMPUTED_VALUE"""),"inactivité 3ème année")</f>
        <v>inactivité 3ème année</v>
      </c>
    </row>
    <row r="372" spans="1:8" ht="12.75">
      <c r="A372" s="46">
        <f ca="1">IFERROR(__xludf.DUMMYFUNCTION("""COMPUTED_VALUE"""),360)</f>
        <v>360</v>
      </c>
      <c r="B372" s="65" t="str">
        <f ca="1">IFERROR(__xludf.DUMMYFUNCTION("""COMPUTED_VALUE"""),"10125")</f>
        <v>10125</v>
      </c>
      <c r="C372" s="48" t="str">
        <f ca="1">IFERROR(__xludf.DUMMYFUNCTION("""COMPUTED_VALUE"""),"THOYER")</f>
        <v>THOYER</v>
      </c>
      <c r="D372" s="48" t="str">
        <f ca="1">IFERROR(__xludf.DUMMYFUNCTION("""COMPUTED_VALUE"""),"Francois")</f>
        <v>Francois</v>
      </c>
      <c r="E372" s="49" t="str">
        <f ca="1">IFERROR(__xludf.DUMMYFUNCTION("""COMPUTED_VALUE"""),"06100004")</f>
        <v>06100004</v>
      </c>
      <c r="F372" s="48" t="str">
        <f ca="1">IFERROR(__xludf.DUMMYFUNCTION("""COMPUTED_VALUE"""),"MOUSSEY CS")</f>
        <v>MOUSSEY CS</v>
      </c>
      <c r="G372" s="50" t="str">
        <f ca="1">IFERROR(__xludf.DUMMYFUNCTION("""COMPUTED_VALUE"""),"CD10")</f>
        <v>CD10</v>
      </c>
      <c r="H372" s="50" t="str">
        <f ca="1">IFERROR(__xludf.DUMMYFUNCTION("""COMPUTED_VALUE"""),"inactivité 1ère année")</f>
        <v>inactivité 1ère année</v>
      </c>
    </row>
    <row r="373" spans="1:8" ht="12.75">
      <c r="A373" s="46">
        <f ca="1">IFERROR(__xludf.DUMMYFUNCTION("""COMPUTED_VALUE"""),361)</f>
        <v>361</v>
      </c>
      <c r="B373" s="65" t="str">
        <f ca="1">IFERROR(__xludf.DUMMYFUNCTION("""COMPUTED_VALUE"""),"089691")</f>
        <v>089691</v>
      </c>
      <c r="C373" s="48" t="str">
        <f ca="1">IFERROR(__xludf.DUMMYFUNCTION("""COMPUTED_VALUE"""),"TISSOT")</f>
        <v>TISSOT</v>
      </c>
      <c r="D373" s="48" t="str">
        <f ca="1">IFERROR(__xludf.DUMMYFUNCTION("""COMPUTED_VALUE"""),"Valerie")</f>
        <v>Valerie</v>
      </c>
      <c r="E373" s="49" t="str">
        <f ca="1">IFERROR(__xludf.DUMMYFUNCTION("""COMPUTED_VALUE"""),"06080082")</f>
        <v>06080082</v>
      </c>
      <c r="F373" s="48" t="str">
        <f ca="1">IFERROR(__xludf.DUMMYFUNCTION("""COMPUTED_VALUE"""),"GLAIRE ASTT")</f>
        <v>GLAIRE ASTT</v>
      </c>
      <c r="G373" s="50" t="str">
        <f ca="1">IFERROR(__xludf.DUMMYFUNCTION("""COMPUTED_VALUE"""),"CD08")</f>
        <v>CD08</v>
      </c>
      <c r="H373" s="50" t="str">
        <f ca="1">IFERROR(__xludf.DUMMYFUNCTION("""COMPUTED_VALUE"""),"inactivité 3ème année")</f>
        <v>inactivité 3ème année</v>
      </c>
    </row>
    <row r="374" spans="1:8" ht="12.75">
      <c r="A374" s="46">
        <f ca="1">IFERROR(__xludf.DUMMYFUNCTION("""COMPUTED_VALUE"""),362)</f>
        <v>362</v>
      </c>
      <c r="B374" s="65" t="str">
        <f ca="1">IFERROR(__xludf.DUMMYFUNCTION("""COMPUTED_VALUE"""),"8813539")</f>
        <v>8813539</v>
      </c>
      <c r="C374" s="48" t="str">
        <f ca="1">IFERROR(__xludf.DUMMYFUNCTION("""COMPUTED_VALUE"""),"TOMASI")</f>
        <v>TOMASI</v>
      </c>
      <c r="D374" s="48" t="str">
        <f ca="1">IFERROR(__xludf.DUMMYFUNCTION("""COMPUTED_VALUE"""),"Herve")</f>
        <v>Herve</v>
      </c>
      <c r="E374" s="49" t="str">
        <f ca="1">IFERROR(__xludf.DUMMYFUNCTION("""COMPUTED_VALUE"""),"06880073")</f>
        <v>06880073</v>
      </c>
      <c r="F374" s="48" t="str">
        <f ca="1">IFERROR(__xludf.DUMMYFUNCTION("""COMPUTED_VALUE"""),"SAINTE MARGUERITE C.T.T.")</f>
        <v>SAINTE MARGUERITE C.T.T.</v>
      </c>
      <c r="G374" s="50" t="str">
        <f ca="1">IFERROR(__xludf.DUMMYFUNCTION("""COMPUTED_VALUE"""),"CD88")</f>
        <v>CD88</v>
      </c>
      <c r="H374" s="50" t="str">
        <f ca="1">IFERROR(__xludf.DUMMYFUNCTION("""COMPUTED_VALUE"""),"inactivité 3ème année")</f>
        <v>inactivité 3ème année</v>
      </c>
    </row>
    <row r="375" spans="1:8" ht="12.75">
      <c r="A375" s="46">
        <f ca="1">IFERROR(__xludf.DUMMYFUNCTION("""COMPUTED_VALUE"""),363)</f>
        <v>363</v>
      </c>
      <c r="B375" s="65" t="str">
        <f ca="1">IFERROR(__xludf.DUMMYFUNCTION("""COMPUTED_VALUE"""),"553102")</f>
        <v>553102</v>
      </c>
      <c r="C375" s="48" t="str">
        <f ca="1">IFERROR(__xludf.DUMMYFUNCTION("""COMPUTED_VALUE"""),"TRELA")</f>
        <v>TRELA</v>
      </c>
      <c r="D375" s="48" t="str">
        <f ca="1">IFERROR(__xludf.DUMMYFUNCTION("""COMPUTED_VALUE"""),"Elvis")</f>
        <v>Elvis</v>
      </c>
      <c r="E375" s="49" t="str">
        <f ca="1">IFERROR(__xludf.DUMMYFUNCTION("""COMPUTED_VALUE"""),"06550005")</f>
        <v>06550005</v>
      </c>
      <c r="F375" s="48" t="str">
        <f ca="1">IFERROR(__xludf.DUMMYFUNCTION("""COMPUTED_VALUE"""),"SAINT MIHIEL P.P.C.")</f>
        <v>SAINT MIHIEL P.P.C.</v>
      </c>
      <c r="G375" s="50" t="str">
        <f ca="1">IFERROR(__xludf.DUMMYFUNCTION("""COMPUTED_VALUE"""),"CD55")</f>
        <v>CD55</v>
      </c>
      <c r="H375" s="50" t="str">
        <f ca="1">IFERROR(__xludf.DUMMYFUNCTION("""COMPUTED_VALUE"""),"inactivité 1ère année")</f>
        <v>inactivité 1ère année</v>
      </c>
    </row>
    <row r="376" spans="1:8" ht="12.75">
      <c r="A376" s="46">
        <f ca="1">IFERROR(__xludf.DUMMYFUNCTION("""COMPUTED_VALUE"""),364)</f>
        <v>364</v>
      </c>
      <c r="B376" s="65" t="str">
        <f ca="1">IFERROR(__xludf.DUMMYFUNCTION("""COMPUTED_VALUE"""),"548436")</f>
        <v>548436</v>
      </c>
      <c r="C376" s="48" t="str">
        <f ca="1">IFERROR(__xludf.DUMMYFUNCTION("""COMPUTED_VALUE"""),"TREMEL")</f>
        <v>TREMEL</v>
      </c>
      <c r="D376" s="48" t="str">
        <f ca="1">IFERROR(__xludf.DUMMYFUNCTION("""COMPUTED_VALUE"""),"Philippe")</f>
        <v>Philippe</v>
      </c>
      <c r="E376" s="49" t="str">
        <f ca="1">IFERROR(__xludf.DUMMYFUNCTION("""COMPUTED_VALUE"""),"06540040")</f>
        <v>06540040</v>
      </c>
      <c r="F376" s="48" t="str">
        <f ca="1">IFERROR(__xludf.DUMMYFUNCTION("""COMPUTED_VALUE"""),"VILLERS LES NANCY C.O.S.")</f>
        <v>VILLERS LES NANCY C.O.S.</v>
      </c>
      <c r="G376" s="50" t="str">
        <f ca="1">IFERROR(__xludf.DUMMYFUNCTION("""COMPUTED_VALUE"""),"CD54")</f>
        <v>CD54</v>
      </c>
      <c r="H376" s="50" t="str">
        <f ca="1">IFERROR(__xludf.DUMMYFUNCTION("""COMPUTED_VALUE"""),"inactivité 2ème année")</f>
        <v>inactivité 2ème année</v>
      </c>
    </row>
    <row r="377" spans="1:8" ht="12.75">
      <c r="A377" s="46">
        <f ca="1">IFERROR(__xludf.DUMMYFUNCTION("""COMPUTED_VALUE"""),365)</f>
        <v>365</v>
      </c>
      <c r="B377" s="65" t="str">
        <f ca="1">IFERROR(__xludf.DUMMYFUNCTION("""COMPUTED_VALUE"""),"8810585")</f>
        <v>8810585</v>
      </c>
      <c r="C377" s="48" t="str">
        <f ca="1">IFERROR(__xludf.DUMMYFUNCTION("""COMPUTED_VALUE"""),"TROUCHOT")</f>
        <v>TROUCHOT</v>
      </c>
      <c r="D377" s="48" t="str">
        <f ca="1">IFERROR(__xludf.DUMMYFUNCTION("""COMPUTED_VALUE"""),"Jerome")</f>
        <v>Jerome</v>
      </c>
      <c r="E377" s="49" t="str">
        <f ca="1">IFERROR(__xludf.DUMMYFUNCTION("""COMPUTED_VALUE"""),"06880138")</f>
        <v>06880138</v>
      </c>
      <c r="F377" s="48" t="str">
        <f ca="1">IFERROR(__xludf.DUMMYFUNCTION("""COMPUTED_VALUE"""),"MONTHUREUX SUR SAONE TT")</f>
        <v>MONTHUREUX SUR SAONE TT</v>
      </c>
      <c r="G377" s="50" t="str">
        <f ca="1">IFERROR(__xludf.DUMMYFUNCTION("""COMPUTED_VALUE"""),"CD88")</f>
        <v>CD88</v>
      </c>
      <c r="H377" s="50" t="str">
        <f ca="1">IFERROR(__xludf.DUMMYFUNCTION("""COMPUTED_VALUE"""),"inactivité 1ère année")</f>
        <v>inactivité 1ère année</v>
      </c>
    </row>
    <row r="378" spans="1:8" ht="12.75">
      <c r="A378" s="46">
        <f ca="1">IFERROR(__xludf.DUMMYFUNCTION("""COMPUTED_VALUE"""),366)</f>
        <v>366</v>
      </c>
      <c r="B378" s="65" t="str">
        <f ca="1">IFERROR(__xludf.DUMMYFUNCTION("""COMPUTED_VALUE"""),"8816525")</f>
        <v>8816525</v>
      </c>
      <c r="C378" s="48" t="str">
        <f ca="1">IFERROR(__xludf.DUMMYFUNCTION("""COMPUTED_VALUE"""),"TROUCHOT")</f>
        <v>TROUCHOT</v>
      </c>
      <c r="D378" s="48" t="str">
        <f ca="1">IFERROR(__xludf.DUMMYFUNCTION("""COMPUTED_VALUE"""),"Aline")</f>
        <v>Aline</v>
      </c>
      <c r="E378" s="49" t="str">
        <f ca="1">IFERROR(__xludf.DUMMYFUNCTION("""COMPUTED_VALUE"""),"06880138")</f>
        <v>06880138</v>
      </c>
      <c r="F378" s="48" t="str">
        <f ca="1">IFERROR(__xludf.DUMMYFUNCTION("""COMPUTED_VALUE"""),"MONTHUREUX SUR SAONE TT")</f>
        <v>MONTHUREUX SUR SAONE TT</v>
      </c>
      <c r="G378" s="50" t="str">
        <f ca="1">IFERROR(__xludf.DUMMYFUNCTION("""COMPUTED_VALUE"""),"CD88")</f>
        <v>CD88</v>
      </c>
      <c r="H378" s="50" t="str">
        <f ca="1">IFERROR(__xludf.DUMMYFUNCTION("""COMPUTED_VALUE"""),"inactivité 1ère année")</f>
        <v>inactivité 1ère année</v>
      </c>
    </row>
    <row r="379" spans="1:8" ht="12.75">
      <c r="A379" s="46">
        <f ca="1">IFERROR(__xludf.DUMMYFUNCTION("""COMPUTED_VALUE"""),367)</f>
        <v>367</v>
      </c>
      <c r="B379" s="65" t="str">
        <f ca="1">IFERROR(__xludf.DUMMYFUNCTION("""COMPUTED_VALUE"""),"5424959")</f>
        <v>5424959</v>
      </c>
      <c r="C379" s="48" t="str">
        <f ca="1">IFERROR(__xludf.DUMMYFUNCTION("""COMPUTED_VALUE"""),"TURBAN")</f>
        <v>TURBAN</v>
      </c>
      <c r="D379" s="48" t="str">
        <f ca="1">IFERROR(__xludf.DUMMYFUNCTION("""COMPUTED_VALUE"""),"Eric")</f>
        <v>Eric</v>
      </c>
      <c r="E379" s="49" t="str">
        <f ca="1">IFERROR(__xludf.DUMMYFUNCTION("""COMPUTED_VALUE"""),"06540040")</f>
        <v>06540040</v>
      </c>
      <c r="F379" s="48" t="str">
        <f ca="1">IFERROR(__xludf.DUMMYFUNCTION("""COMPUTED_VALUE"""),"VILLERS LES NANCY C.O.S.")</f>
        <v>VILLERS LES NANCY C.O.S.</v>
      </c>
      <c r="G379" s="50" t="str">
        <f ca="1">IFERROR(__xludf.DUMMYFUNCTION("""COMPUTED_VALUE"""),"CD54")</f>
        <v>CD54</v>
      </c>
      <c r="H379" s="50" t="str">
        <f ca="1">IFERROR(__xludf.DUMMYFUNCTION("""COMPUTED_VALUE"""),"actif")</f>
        <v>actif</v>
      </c>
    </row>
    <row r="380" spans="1:8" ht="12.75">
      <c r="A380" s="46">
        <f ca="1">IFERROR(__xludf.DUMMYFUNCTION("""COMPUTED_VALUE"""),368)</f>
        <v>368</v>
      </c>
      <c r="B380" s="65" t="str">
        <f ca="1">IFERROR(__xludf.DUMMYFUNCTION("""COMPUTED_VALUE"""),"5416812")</f>
        <v>5416812</v>
      </c>
      <c r="C380" s="48" t="str">
        <f ca="1">IFERROR(__xludf.DUMMYFUNCTION("""COMPUTED_VALUE"""),"TURCK")</f>
        <v>TURCK</v>
      </c>
      <c r="D380" s="48" t="str">
        <f ca="1">IFERROR(__xludf.DUMMYFUNCTION("""COMPUTED_VALUE"""),"Damien")</f>
        <v>Damien</v>
      </c>
      <c r="E380" s="49" t="str">
        <f ca="1">IFERROR(__xludf.DUMMYFUNCTION("""COMPUTED_VALUE"""),"06540047")</f>
        <v>06540047</v>
      </c>
      <c r="F380" s="48" t="str">
        <f ca="1">IFERROR(__xludf.DUMMYFUNCTION("""COMPUTED_VALUE"""),"MALLELOY F.J.E.P.")</f>
        <v>MALLELOY F.J.E.P.</v>
      </c>
      <c r="G380" s="50" t="str">
        <f ca="1">IFERROR(__xludf.DUMMYFUNCTION("""COMPUTED_VALUE"""),"CD54")</f>
        <v>CD54</v>
      </c>
      <c r="H380" s="50" t="str">
        <f ca="1">IFERROR(__xludf.DUMMYFUNCTION("""COMPUTED_VALUE"""),"inactivité 3ème année")</f>
        <v>inactivité 3ème année</v>
      </c>
    </row>
    <row r="381" spans="1:8" ht="12.75">
      <c r="A381" s="46">
        <f ca="1">IFERROR(__xludf.DUMMYFUNCTION("""COMPUTED_VALUE"""),369)</f>
        <v>369</v>
      </c>
      <c r="B381" s="65" t="str">
        <f ca="1">IFERROR(__xludf.DUMMYFUNCTION("""COMPUTED_VALUE"""),"105238")</f>
        <v>105238</v>
      </c>
      <c r="C381" s="48" t="str">
        <f ca="1">IFERROR(__xludf.DUMMYFUNCTION("""COMPUTED_VALUE"""),"TURK")</f>
        <v>TURK</v>
      </c>
      <c r="D381" s="48" t="str">
        <f ca="1">IFERROR(__xludf.DUMMYFUNCTION("""COMPUTED_VALUE"""),"Tristan")</f>
        <v>Tristan</v>
      </c>
      <c r="E381" s="49" t="str">
        <f ca="1">IFERROR(__xludf.DUMMYFUNCTION("""COMPUTED_VALUE"""),"06100016")</f>
        <v>06100016</v>
      </c>
      <c r="F381" s="48" t="str">
        <f ca="1">IFERROR(__xludf.DUMMYFUNCTION("""COMPUTED_VALUE"""),"BAR SUR SEINE FJ")</f>
        <v>BAR SUR SEINE FJ</v>
      </c>
      <c r="G381" s="50" t="str">
        <f ca="1">IFERROR(__xludf.DUMMYFUNCTION("""COMPUTED_VALUE"""),"CD10")</f>
        <v>CD10</v>
      </c>
      <c r="H381" s="50" t="str">
        <f ca="1">IFERROR(__xludf.DUMMYFUNCTION("""COMPUTED_VALUE"""),"inactivité 3ème année")</f>
        <v>inactivité 3ème année</v>
      </c>
    </row>
    <row r="382" spans="1:8" ht="12.75">
      <c r="A382" s="46">
        <f ca="1">IFERROR(__xludf.DUMMYFUNCTION("""COMPUTED_VALUE"""),370)</f>
        <v>370</v>
      </c>
      <c r="B382" s="65" t="str">
        <f ca="1">IFERROR(__xludf.DUMMYFUNCTION("""COMPUTED_VALUE"""),"8812905")</f>
        <v>8812905</v>
      </c>
      <c r="C382" s="48" t="str">
        <f ca="1">IFERROR(__xludf.DUMMYFUNCTION("""COMPUTED_VALUE"""),"VALROFF")</f>
        <v>VALROFF</v>
      </c>
      <c r="D382" s="48" t="str">
        <f ca="1">IFERROR(__xludf.DUMMYFUNCTION("""COMPUTED_VALUE"""),"Juliette")</f>
        <v>Juliette</v>
      </c>
      <c r="E382" s="49" t="str">
        <f ca="1">IFERROR(__xludf.DUMMYFUNCTION("""COMPUTED_VALUE"""),"06880051")</f>
        <v>06880051</v>
      </c>
      <c r="F382" s="48" t="str">
        <f ca="1">IFERROR(__xludf.DUMMYFUNCTION("""COMPUTED_VALUE"""),"Raquette Golbéenne")</f>
        <v>Raquette Golbéenne</v>
      </c>
      <c r="G382" s="50" t="str">
        <f ca="1">IFERROR(__xludf.DUMMYFUNCTION("""COMPUTED_VALUE"""),"CD88")</f>
        <v>CD88</v>
      </c>
      <c r="H382" s="50" t="str">
        <f ca="1">IFERROR(__xludf.DUMMYFUNCTION("""COMPUTED_VALUE"""),"actif")</f>
        <v>actif</v>
      </c>
    </row>
    <row r="383" spans="1:8" ht="12.75">
      <c r="A383" s="46">
        <f ca="1">IFERROR(__xludf.DUMMYFUNCTION("""COMPUTED_VALUE"""),371)</f>
        <v>371</v>
      </c>
      <c r="B383" s="65" t="str">
        <f ca="1">IFERROR(__xludf.DUMMYFUNCTION("""COMPUTED_VALUE"""),"084723")</f>
        <v>084723</v>
      </c>
      <c r="C383" s="48" t="str">
        <f ca="1">IFERROR(__xludf.DUMMYFUNCTION("""COMPUTED_VALUE"""),"VAN COPENOLLE")</f>
        <v>VAN COPENOLLE</v>
      </c>
      <c r="D383" s="48" t="str">
        <f ca="1">IFERROR(__xludf.DUMMYFUNCTION("""COMPUTED_VALUE"""),"Sebastien")</f>
        <v>Sebastien</v>
      </c>
      <c r="E383" s="49" t="str">
        <f ca="1">IFERROR(__xludf.DUMMYFUNCTION("""COMPUTED_VALUE"""),"06080024")</f>
        <v>06080024</v>
      </c>
      <c r="F383" s="48" t="str">
        <f ca="1">IFERROR(__xludf.DUMMYFUNCTION("""COMPUTED_VALUE"""),"FLOING PPC")</f>
        <v>FLOING PPC</v>
      </c>
      <c r="G383" s="50" t="str">
        <f ca="1">IFERROR(__xludf.DUMMYFUNCTION("""COMPUTED_VALUE"""),"CD08")</f>
        <v>CD08</v>
      </c>
      <c r="H383" s="50" t="str">
        <f ca="1">IFERROR(__xludf.DUMMYFUNCTION("""COMPUTED_VALUE"""),"inactivité 3ème année")</f>
        <v>inactivité 3ème année</v>
      </c>
    </row>
    <row r="384" spans="1:8" ht="12.75">
      <c r="A384" s="46">
        <f ca="1">IFERROR(__xludf.DUMMYFUNCTION("""COMPUTED_VALUE"""),372)</f>
        <v>372</v>
      </c>
      <c r="B384" s="65" t="str">
        <f ca="1">IFERROR(__xludf.DUMMYFUNCTION("""COMPUTED_VALUE"""),"5737029")</f>
        <v>5737029</v>
      </c>
      <c r="C384" s="48" t="str">
        <f ca="1">IFERROR(__xludf.DUMMYFUNCTION("""COMPUTED_VALUE"""),"VANDLER")</f>
        <v>VANDLER</v>
      </c>
      <c r="D384" s="48" t="str">
        <f ca="1">IFERROR(__xludf.DUMMYFUNCTION("""COMPUTED_VALUE"""),"Quentin")</f>
        <v>Quentin</v>
      </c>
      <c r="E384" s="49" t="str">
        <f ca="1">IFERROR(__xludf.DUMMYFUNCTION("""COMPUTED_VALUE"""),"06570190")</f>
        <v>06570190</v>
      </c>
      <c r="F384" s="48" t="str">
        <f ca="1">IFERROR(__xludf.DUMMYFUNCTION("""COMPUTED_VALUE"""),"METZ Tennis de Table")</f>
        <v>METZ Tennis de Table</v>
      </c>
      <c r="G384" s="50" t="str">
        <f ca="1">IFERROR(__xludf.DUMMYFUNCTION("""COMPUTED_VALUE"""),"CD57")</f>
        <v>CD57</v>
      </c>
      <c r="H384" s="50" t="str">
        <f ca="1">IFERROR(__xludf.DUMMYFUNCTION("""COMPUTED_VALUE"""),"actif")</f>
        <v>actif</v>
      </c>
    </row>
    <row r="385" spans="1:8" ht="12.75">
      <c r="A385" s="46">
        <f ca="1">IFERROR(__xludf.DUMMYFUNCTION("""COMPUTED_VALUE"""),373)</f>
        <v>373</v>
      </c>
      <c r="B385" s="65" t="str">
        <f ca="1">IFERROR(__xludf.DUMMYFUNCTION("""COMPUTED_VALUE"""),"517110")</f>
        <v>517110</v>
      </c>
      <c r="C385" s="48" t="str">
        <f ca="1">IFERROR(__xludf.DUMMYFUNCTION("""COMPUTED_VALUE"""),"VAUTHENY")</f>
        <v>VAUTHENY</v>
      </c>
      <c r="D385" s="48" t="str">
        <f ca="1">IFERROR(__xludf.DUMMYFUNCTION("""COMPUTED_VALUE"""),"Philippe")</f>
        <v>Philippe</v>
      </c>
      <c r="E385" s="49" t="str">
        <f ca="1">IFERROR(__xludf.DUMMYFUNCTION("""COMPUTED_VALUE"""),"06510019")</f>
        <v>06510019</v>
      </c>
      <c r="F385" s="48" t="str">
        <f ca="1">IFERROR(__xludf.DUMMYFUNCTION("""COMPUTED_VALUE"""),"TAISSY ASTT")</f>
        <v>TAISSY ASTT</v>
      </c>
      <c r="G385" s="50" t="str">
        <f ca="1">IFERROR(__xludf.DUMMYFUNCTION("""COMPUTED_VALUE"""),"CD51")</f>
        <v>CD51</v>
      </c>
      <c r="H385" s="50" t="str">
        <f ca="1">IFERROR(__xludf.DUMMYFUNCTION("""COMPUTED_VALUE"""),"inactivité 1ère année")</f>
        <v>inactivité 1ère année</v>
      </c>
    </row>
    <row r="386" spans="1:8" ht="12.75">
      <c r="A386" s="46">
        <f ca="1">IFERROR(__xludf.DUMMYFUNCTION("""COMPUTED_VALUE"""),374)</f>
        <v>374</v>
      </c>
      <c r="B386" s="65" t="str">
        <f ca="1">IFERROR(__xludf.DUMMYFUNCTION("""COMPUTED_VALUE"""),"081576")</f>
        <v>081576</v>
      </c>
      <c r="C386" s="48" t="str">
        <f ca="1">IFERROR(__xludf.DUMMYFUNCTION("""COMPUTED_VALUE"""),"VAUTHIER")</f>
        <v>VAUTHIER</v>
      </c>
      <c r="D386" s="48" t="str">
        <f ca="1">IFERROR(__xludf.DUMMYFUNCTION("""COMPUTED_VALUE"""),"Daniel")</f>
        <v>Daniel</v>
      </c>
      <c r="E386" s="49" t="str">
        <f ca="1">IFERROR(__xludf.DUMMYFUNCTION("""COMPUTED_VALUE"""),"06080064")</f>
        <v>06080064</v>
      </c>
      <c r="F386" s="48" t="str">
        <f ca="1">IFERROR(__xludf.DUMMYFUNCTION("""COMPUTED_VALUE"""),"VIVIER AU COURT CTT")</f>
        <v>VIVIER AU COURT CTT</v>
      </c>
      <c r="G386" s="50" t="str">
        <f ca="1">IFERROR(__xludf.DUMMYFUNCTION("""COMPUTED_VALUE"""),"CD08")</f>
        <v>CD08</v>
      </c>
      <c r="H386" s="50" t="str">
        <f ca="1">IFERROR(__xludf.DUMMYFUNCTION("""COMPUTED_VALUE"""),"inactivité 3ème année")</f>
        <v>inactivité 3ème année</v>
      </c>
    </row>
    <row r="387" spans="1:8" ht="12.75">
      <c r="A387" s="46">
        <f ca="1">IFERROR(__xludf.DUMMYFUNCTION("""COMPUTED_VALUE"""),375)</f>
        <v>375</v>
      </c>
      <c r="B387" s="65" t="str">
        <f ca="1">IFERROR(__xludf.DUMMYFUNCTION("""COMPUTED_VALUE"""),"57678")</f>
        <v>57678</v>
      </c>
      <c r="C387" s="48" t="str">
        <f ca="1">IFERROR(__xludf.DUMMYFUNCTION("""COMPUTED_VALUE"""),"VIBERT")</f>
        <v>VIBERT</v>
      </c>
      <c r="D387" s="48" t="str">
        <f ca="1">IFERROR(__xludf.DUMMYFUNCTION("""COMPUTED_VALUE"""),"Richard")</f>
        <v>Richard</v>
      </c>
      <c r="E387" s="49" t="str">
        <f ca="1">IFERROR(__xludf.DUMMYFUNCTION("""COMPUTED_VALUE"""),"06570140")</f>
        <v>06570140</v>
      </c>
      <c r="F387" s="48" t="str">
        <f ca="1">IFERROR(__xludf.DUMMYFUNCTION("""COMPUTED_VALUE"""),"STE MARIE AUX CHENES ASPTT")</f>
        <v>STE MARIE AUX CHENES ASPTT</v>
      </c>
      <c r="G387" s="50" t="str">
        <f ca="1">IFERROR(__xludf.DUMMYFUNCTION("""COMPUTED_VALUE"""),"CD57")</f>
        <v>CD57</v>
      </c>
      <c r="H387" s="50" t="str">
        <f ca="1">IFERROR(__xludf.DUMMYFUNCTION("""COMPUTED_VALUE"""),"actif")</f>
        <v>actif</v>
      </c>
    </row>
    <row r="388" spans="1:8" ht="12.75">
      <c r="A388" s="46">
        <f ca="1">IFERROR(__xludf.DUMMYFUNCTION("""COMPUTED_VALUE"""),376)</f>
        <v>376</v>
      </c>
      <c r="B388" s="65" t="str">
        <f ca="1">IFERROR(__xludf.DUMMYFUNCTION("""COMPUTED_VALUE"""),"686906")</f>
        <v>686906</v>
      </c>
      <c r="C388" s="48" t="str">
        <f ca="1">IFERROR(__xludf.DUMMYFUNCTION("""COMPUTED_VALUE"""),"VIGOURET")</f>
        <v>VIGOURET</v>
      </c>
      <c r="D388" s="48" t="str">
        <f ca="1">IFERROR(__xludf.DUMMYFUNCTION("""COMPUTED_VALUE"""),"Herve")</f>
        <v>Herve</v>
      </c>
      <c r="E388" s="49" t="str">
        <f ca="1">IFERROR(__xludf.DUMMYFUNCTION("""COMPUTED_VALUE"""),"06680091")</f>
        <v>06680091</v>
      </c>
      <c r="F388" s="48" t="str">
        <f ca="1">IFERROR(__xludf.DUMMYFUNCTION("""COMPUTED_VALUE"""),"ILLZACH TTSJB")</f>
        <v>ILLZACH TTSJB</v>
      </c>
      <c r="G388" s="50" t="str">
        <f ca="1">IFERROR(__xludf.DUMMYFUNCTION("""COMPUTED_VALUE"""),"CD68")</f>
        <v>CD68</v>
      </c>
      <c r="H388" s="50" t="str">
        <f ca="1">IFERROR(__xludf.DUMMYFUNCTION("""COMPUTED_VALUE"""),"inactivité 3ème année")</f>
        <v>inactivité 3ème année</v>
      </c>
    </row>
    <row r="389" spans="1:8" ht="12.75">
      <c r="A389" s="46">
        <f ca="1">IFERROR(__xludf.DUMMYFUNCTION("""COMPUTED_VALUE"""),377)</f>
        <v>377</v>
      </c>
      <c r="B389" s="65" t="str">
        <f ca="1">IFERROR(__xludf.DUMMYFUNCTION("""COMPUTED_VALUE"""),"5412860")</f>
        <v>5412860</v>
      </c>
      <c r="C389" s="48" t="str">
        <f ca="1">IFERROR(__xludf.DUMMYFUNCTION("""COMPUTED_VALUE"""),"VINOT")</f>
        <v>VINOT</v>
      </c>
      <c r="D389" s="48" t="str">
        <f ca="1">IFERROR(__xludf.DUMMYFUNCTION("""COMPUTED_VALUE"""),"Roland")</f>
        <v>Roland</v>
      </c>
      <c r="E389" s="49" t="str">
        <f ca="1">IFERROR(__xludf.DUMMYFUNCTION("""COMPUTED_VALUE"""),"06540193")</f>
        <v>06540193</v>
      </c>
      <c r="F389" s="48" t="str">
        <f ca="1">IFERROR(__xludf.DUMMYFUNCTION("""COMPUTED_VALUE"""),"BACCARAT ABTT")</f>
        <v>BACCARAT ABTT</v>
      </c>
      <c r="G389" s="50" t="str">
        <f ca="1">IFERROR(__xludf.DUMMYFUNCTION("""COMPUTED_VALUE"""),"CD54")</f>
        <v>CD54</v>
      </c>
      <c r="H389" s="50" t="str">
        <f ca="1">IFERROR(__xludf.DUMMYFUNCTION("""COMPUTED_VALUE"""),"inactivité 1ère année")</f>
        <v>inactivité 1ère année</v>
      </c>
    </row>
    <row r="390" spans="1:8" ht="12.75">
      <c r="A390" s="46">
        <f ca="1">IFERROR(__xludf.DUMMYFUNCTION("""COMPUTED_VALUE"""),378)</f>
        <v>378</v>
      </c>
      <c r="B390" s="65" t="str">
        <f ca="1">IFERROR(__xludf.DUMMYFUNCTION("""COMPUTED_VALUE"""),"682027")</f>
        <v>682027</v>
      </c>
      <c r="C390" s="48" t="str">
        <f ca="1">IFERROR(__xludf.DUMMYFUNCTION("""COMPUTED_VALUE"""),"VOISIN")</f>
        <v>VOISIN</v>
      </c>
      <c r="D390" s="48" t="str">
        <f ca="1">IFERROR(__xludf.DUMMYFUNCTION("""COMPUTED_VALUE"""),"Jean-marie")</f>
        <v>Jean-marie</v>
      </c>
      <c r="E390" s="49" t="str">
        <f ca="1">IFERROR(__xludf.DUMMYFUNCTION("""COMPUTED_VALUE"""),"06680105")</f>
        <v>06680105</v>
      </c>
      <c r="F390" s="48" t="str">
        <f ca="1">IFERROR(__xludf.DUMMYFUNCTION("""COMPUTED_VALUE"""),"MULHOUSE TENNIS DE TABLE")</f>
        <v>MULHOUSE TENNIS DE TABLE</v>
      </c>
      <c r="G390" s="50" t="str">
        <f ca="1">IFERROR(__xludf.DUMMYFUNCTION("""COMPUTED_VALUE"""),"CD68")</f>
        <v>CD68</v>
      </c>
      <c r="H390" s="50" t="str">
        <f ca="1">IFERROR(__xludf.DUMMYFUNCTION("""COMPUTED_VALUE"""),"inactivité 3ème année")</f>
        <v>inactivité 3ème année</v>
      </c>
    </row>
    <row r="391" spans="1:8" ht="12.75">
      <c r="A391" s="46">
        <f ca="1">IFERROR(__xludf.DUMMYFUNCTION("""COMPUTED_VALUE"""),379)</f>
        <v>379</v>
      </c>
      <c r="B391" s="65" t="str">
        <f ca="1">IFERROR(__xludf.DUMMYFUNCTION("""COMPUTED_VALUE"""),"885989")</f>
        <v>885989</v>
      </c>
      <c r="C391" s="48" t="str">
        <f ca="1">IFERROR(__xludf.DUMMYFUNCTION("""COMPUTED_VALUE"""),"VOYEN")</f>
        <v>VOYEN</v>
      </c>
      <c r="D391" s="48" t="str">
        <f ca="1">IFERROR(__xludf.DUMMYFUNCTION("""COMPUTED_VALUE"""),"Madeline")</f>
        <v>Madeline</v>
      </c>
      <c r="E391" s="49" t="str">
        <f ca="1">IFERROR(__xludf.DUMMYFUNCTION("""COMPUTED_VALUE"""),"06880002")</f>
        <v>06880002</v>
      </c>
      <c r="F391" s="48" t="str">
        <f ca="1">IFERROR(__xludf.DUMMYFUNCTION("""COMPUTED_VALUE"""),"ANOULD Cercle Pongiste")</f>
        <v>ANOULD Cercle Pongiste</v>
      </c>
      <c r="G391" s="50" t="str">
        <f ca="1">IFERROR(__xludf.DUMMYFUNCTION("""COMPUTED_VALUE"""),"CD88")</f>
        <v>CD88</v>
      </c>
      <c r="H391" s="50" t="str">
        <f ca="1">IFERROR(__xludf.DUMMYFUNCTION("""COMPUTED_VALUE"""),"inactivité 1ère année")</f>
        <v>inactivité 1ère année</v>
      </c>
    </row>
    <row r="392" spans="1:8" ht="12.75">
      <c r="A392" s="46">
        <f ca="1">IFERROR(__xludf.DUMMYFUNCTION("""COMPUTED_VALUE"""),380)</f>
        <v>380</v>
      </c>
      <c r="B392" s="65" t="str">
        <f ca="1">IFERROR(__xludf.DUMMYFUNCTION("""COMPUTED_VALUE"""),"5430619")</f>
        <v>5430619</v>
      </c>
      <c r="C392" s="48" t="str">
        <f ca="1">IFERROR(__xludf.DUMMYFUNCTION("""COMPUTED_VALUE"""),"VUILLEUMIER")</f>
        <v>VUILLEUMIER</v>
      </c>
      <c r="D392" s="48" t="str">
        <f ca="1">IFERROR(__xludf.DUMMYFUNCTION("""COMPUTED_VALUE"""),"Lucas")</f>
        <v>Lucas</v>
      </c>
      <c r="E392" s="49" t="str">
        <f ca="1">IFERROR(__xludf.DUMMYFUNCTION("""COMPUTED_VALUE"""),"06540040")</f>
        <v>06540040</v>
      </c>
      <c r="F392" s="48" t="str">
        <f ca="1">IFERROR(__xludf.DUMMYFUNCTION("""COMPUTED_VALUE"""),"VILLERS LES NANCY C.O.S.")</f>
        <v>VILLERS LES NANCY C.O.S.</v>
      </c>
      <c r="G392" s="50" t="str">
        <f ca="1">IFERROR(__xludf.DUMMYFUNCTION("""COMPUTED_VALUE"""),"CD54")</f>
        <v>CD54</v>
      </c>
      <c r="H392" s="50" t="str">
        <f ca="1">IFERROR(__xludf.DUMMYFUNCTION("""COMPUTED_VALUE"""),"actif")</f>
        <v>actif</v>
      </c>
    </row>
    <row r="393" spans="1:8" ht="12.75">
      <c r="A393" s="46">
        <f ca="1">IFERROR(__xludf.DUMMYFUNCTION("""COMPUTED_VALUE"""),381)</f>
        <v>381</v>
      </c>
      <c r="B393" s="65" t="str">
        <f ca="1">IFERROR(__xludf.DUMMYFUNCTION("""COMPUTED_VALUE"""),"6718151")</f>
        <v>6718151</v>
      </c>
      <c r="C393" s="48" t="str">
        <f ca="1">IFERROR(__xludf.DUMMYFUNCTION("""COMPUTED_VALUE"""),"WANAVERBECQ")</f>
        <v>WANAVERBECQ</v>
      </c>
      <c r="D393" s="48" t="str">
        <f ca="1">IFERROR(__xludf.DUMMYFUNCTION("""COMPUTED_VALUE"""),"Didier")</f>
        <v>Didier</v>
      </c>
      <c r="E393" s="49" t="str">
        <f ca="1">IFERROR(__xludf.DUMMYFUNCTION("""COMPUTED_VALUE"""),"06670122")</f>
        <v>06670122</v>
      </c>
      <c r="F393" s="48" t="str">
        <f ca="1">IFERROR(__xludf.DUMMYFUNCTION("""COMPUTED_VALUE"""),"OBERNAI CA")</f>
        <v>OBERNAI CA</v>
      </c>
      <c r="G393" s="50" t="str">
        <f ca="1">IFERROR(__xludf.DUMMYFUNCTION("""COMPUTED_VALUE"""),"CD67")</f>
        <v>CD67</v>
      </c>
      <c r="H393" s="50" t="str">
        <f ca="1">IFERROR(__xludf.DUMMYFUNCTION("""COMPUTED_VALUE"""),"actif")</f>
        <v>actif</v>
      </c>
    </row>
    <row r="394" spans="1:8" ht="12.75">
      <c r="A394" s="46">
        <f ca="1">IFERROR(__xludf.DUMMYFUNCTION("""COMPUTED_VALUE"""),382)</f>
        <v>382</v>
      </c>
      <c r="B394" s="65" t="str">
        <f ca="1">IFERROR(__xludf.DUMMYFUNCTION("""COMPUTED_VALUE"""),"577646")</f>
        <v>577646</v>
      </c>
      <c r="C394" s="48" t="str">
        <f ca="1">IFERROR(__xludf.DUMMYFUNCTION("""COMPUTED_VALUE"""),"WEBER")</f>
        <v>WEBER</v>
      </c>
      <c r="D394" s="48" t="str">
        <f ca="1">IFERROR(__xludf.DUMMYFUNCTION("""COMPUTED_VALUE"""),"Marc")</f>
        <v>Marc</v>
      </c>
      <c r="E394" s="49" t="str">
        <f ca="1">IFERROR(__xludf.DUMMYFUNCTION("""COMPUTED_VALUE"""),"06570022")</f>
        <v>06570022</v>
      </c>
      <c r="F394" s="48" t="str">
        <f ca="1">IFERROR(__xludf.DUMMYFUNCTION("""COMPUTED_VALUE"""),"AS.Sarreguemines Tennis de Table")</f>
        <v>AS.Sarreguemines Tennis de Table</v>
      </c>
      <c r="G394" s="50" t="str">
        <f ca="1">IFERROR(__xludf.DUMMYFUNCTION("""COMPUTED_VALUE"""),"CD57")</f>
        <v>CD57</v>
      </c>
      <c r="H394" s="50" t="str">
        <f ca="1">IFERROR(__xludf.DUMMYFUNCTION("""COMPUTED_VALUE"""),"inactivité 3ème année")</f>
        <v>inactivité 3ème année</v>
      </c>
    </row>
    <row r="395" spans="1:8" ht="12.75">
      <c r="A395" s="46">
        <f ca="1">IFERROR(__xludf.DUMMYFUNCTION("""COMPUTED_VALUE"""),383)</f>
        <v>383</v>
      </c>
      <c r="B395" s="65" t="str">
        <f ca="1">IFERROR(__xludf.DUMMYFUNCTION("""COMPUTED_VALUE"""),"5727915")</f>
        <v>5727915</v>
      </c>
      <c r="C395" s="48" t="str">
        <f ca="1">IFERROR(__xludf.DUMMYFUNCTION("""COMPUTED_VALUE"""),"WEBER")</f>
        <v>WEBER</v>
      </c>
      <c r="D395" s="48" t="str">
        <f ca="1">IFERROR(__xludf.DUMMYFUNCTION("""COMPUTED_VALUE"""),"Fabrice")</f>
        <v>Fabrice</v>
      </c>
      <c r="E395" s="49" t="str">
        <f ca="1">IFERROR(__xludf.DUMMYFUNCTION("""COMPUTED_VALUE"""),"06570190")</f>
        <v>06570190</v>
      </c>
      <c r="F395" s="48" t="str">
        <f ca="1">IFERROR(__xludf.DUMMYFUNCTION("""COMPUTED_VALUE"""),"METZ Tennis de Table")</f>
        <v>METZ Tennis de Table</v>
      </c>
      <c r="G395" s="50" t="str">
        <f ca="1">IFERROR(__xludf.DUMMYFUNCTION("""COMPUTED_VALUE"""),"CD57")</f>
        <v>CD57</v>
      </c>
      <c r="H395" s="50" t="str">
        <f ca="1">IFERROR(__xludf.DUMMYFUNCTION("""COMPUTED_VALUE"""),"inactivité 3ème année")</f>
        <v>inactivité 3ème année</v>
      </c>
    </row>
    <row r="396" spans="1:8" ht="12.75">
      <c r="A396" s="46">
        <f ca="1">IFERROR(__xludf.DUMMYFUNCTION("""COMPUTED_VALUE"""),384)</f>
        <v>384</v>
      </c>
      <c r="B396" s="65" t="str">
        <f ca="1">IFERROR(__xludf.DUMMYFUNCTION("""COMPUTED_VALUE"""),"5737111")</f>
        <v>5737111</v>
      </c>
      <c r="C396" s="48" t="str">
        <f ca="1">IFERROR(__xludf.DUMMYFUNCTION("""COMPUTED_VALUE"""),"WEBER")</f>
        <v>WEBER</v>
      </c>
      <c r="D396" s="48" t="str">
        <f ca="1">IFERROR(__xludf.DUMMYFUNCTION("""COMPUTED_VALUE"""),"Sarah")</f>
        <v>Sarah</v>
      </c>
      <c r="E396" s="49" t="str">
        <f ca="1">IFERROR(__xludf.DUMMYFUNCTION("""COMPUTED_VALUE"""),"06570202")</f>
        <v>06570202</v>
      </c>
      <c r="F396" s="48" t="str">
        <f ca="1">IFERROR(__xludf.DUMMYFUNCTION("""COMPUTED_VALUE"""),"NIDERVILLER Eden Pongiste")</f>
        <v>NIDERVILLER Eden Pongiste</v>
      </c>
      <c r="G396" s="50" t="str">
        <f ca="1">IFERROR(__xludf.DUMMYFUNCTION("""COMPUTED_VALUE"""),"CD57")</f>
        <v>CD57</v>
      </c>
      <c r="H396" s="50" t="str">
        <f ca="1">IFERROR(__xludf.DUMMYFUNCTION("""COMPUTED_VALUE"""),"inactivité 1ère année")</f>
        <v>inactivité 1ère année</v>
      </c>
    </row>
    <row r="397" spans="1:8" ht="12.75">
      <c r="A397" s="46">
        <f ca="1">IFERROR(__xludf.DUMMYFUNCTION("""COMPUTED_VALUE"""),385)</f>
        <v>385</v>
      </c>
      <c r="B397" s="65" t="str">
        <f ca="1">IFERROR(__xludf.DUMMYFUNCTION("""COMPUTED_VALUE"""),"578148")</f>
        <v>578148</v>
      </c>
      <c r="C397" s="48" t="str">
        <f ca="1">IFERROR(__xludf.DUMMYFUNCTION("""COMPUTED_VALUE"""),"WEBER")</f>
        <v>WEBER</v>
      </c>
      <c r="D397" s="48" t="str">
        <f ca="1">IFERROR(__xludf.DUMMYFUNCTION("""COMPUTED_VALUE"""),"Franck")</f>
        <v>Franck</v>
      </c>
      <c r="E397" s="49" t="str">
        <f ca="1">IFERROR(__xludf.DUMMYFUNCTION("""COMPUTED_VALUE"""),"06570202")</f>
        <v>06570202</v>
      </c>
      <c r="F397" s="48" t="str">
        <f ca="1">IFERROR(__xludf.DUMMYFUNCTION("""COMPUTED_VALUE"""),"NIDERVILLER Eden Pongiste")</f>
        <v>NIDERVILLER Eden Pongiste</v>
      </c>
      <c r="G397" s="50" t="str">
        <f ca="1">IFERROR(__xludf.DUMMYFUNCTION("""COMPUTED_VALUE"""),"CD57")</f>
        <v>CD57</v>
      </c>
      <c r="H397" s="50" t="str">
        <f ca="1">IFERROR(__xludf.DUMMYFUNCTION("""COMPUTED_VALUE"""),"inactivité 1ère année")</f>
        <v>inactivité 1ère année</v>
      </c>
    </row>
    <row r="398" spans="1:8" ht="12.75">
      <c r="A398" s="46">
        <f ca="1">IFERROR(__xludf.DUMMYFUNCTION("""COMPUTED_VALUE"""),386)</f>
        <v>386</v>
      </c>
      <c r="B398" s="65" t="str">
        <f ca="1">IFERROR(__xludf.DUMMYFUNCTION("""COMPUTED_VALUE"""),"6720335")</f>
        <v>6720335</v>
      </c>
      <c r="C398" s="48" t="str">
        <f ca="1">IFERROR(__xludf.DUMMYFUNCTION("""COMPUTED_VALUE"""),"WEIBLE")</f>
        <v>WEIBLE</v>
      </c>
      <c r="D398" s="48" t="str">
        <f ca="1">IFERROR(__xludf.DUMMYFUNCTION("""COMPUTED_VALUE"""),"Pierre")</f>
        <v>Pierre</v>
      </c>
      <c r="E398" s="49" t="str">
        <f ca="1">IFERROR(__xludf.DUMMYFUNCTION("""COMPUTED_VALUE"""),"06670216")</f>
        <v>06670216</v>
      </c>
      <c r="F398" s="48" t="str">
        <f ca="1">IFERROR(__xludf.DUMMYFUNCTION("""COMPUTED_VALUE"""),"HOERDT T.T.")</f>
        <v>HOERDT T.T.</v>
      </c>
      <c r="G398" s="50" t="str">
        <f ca="1">IFERROR(__xludf.DUMMYFUNCTION("""COMPUTED_VALUE"""),"CD67")</f>
        <v>CD67</v>
      </c>
      <c r="H398" s="50" t="str">
        <f ca="1">IFERROR(__xludf.DUMMYFUNCTION("""COMPUTED_VALUE"""),"inactivité 3ème année")</f>
        <v>inactivité 3ème année</v>
      </c>
    </row>
    <row r="399" spans="1:8" ht="12.75">
      <c r="A399" s="46">
        <f ca="1">IFERROR(__xludf.DUMMYFUNCTION("""COMPUTED_VALUE"""),387)</f>
        <v>387</v>
      </c>
      <c r="B399" s="65" t="str">
        <f ca="1">IFERROR(__xludf.DUMMYFUNCTION("""COMPUTED_VALUE"""),"57609")</f>
        <v>57609</v>
      </c>
      <c r="C399" s="48" t="str">
        <f ca="1">IFERROR(__xludf.DUMMYFUNCTION("""COMPUTED_VALUE"""),"WILHELM")</f>
        <v>WILHELM</v>
      </c>
      <c r="D399" s="48" t="str">
        <f ca="1">IFERROR(__xludf.DUMMYFUNCTION("""COMPUTED_VALUE"""),"Stephan")</f>
        <v>Stephan</v>
      </c>
      <c r="E399" s="49" t="str">
        <f ca="1">IFERROR(__xludf.DUMMYFUNCTION("""COMPUTED_VALUE"""),"06570030")</f>
        <v>06570030</v>
      </c>
      <c r="F399" s="48" t="str">
        <f ca="1">IFERROR(__xludf.DUMMYFUNCTION("""COMPUTED_VALUE"""),"SPICHEREN C.S.N.")</f>
        <v>SPICHEREN C.S.N.</v>
      </c>
      <c r="G399" s="50" t="str">
        <f ca="1">IFERROR(__xludf.DUMMYFUNCTION("""COMPUTED_VALUE"""),"CD57")</f>
        <v>CD57</v>
      </c>
      <c r="H399" s="50" t="str">
        <f ca="1">IFERROR(__xludf.DUMMYFUNCTION("""COMPUTED_VALUE"""),"inactivité 2ème année")</f>
        <v>inactivité 2ème année</v>
      </c>
    </row>
    <row r="400" spans="1:8" ht="12.75">
      <c r="A400" s="46">
        <f ca="1">IFERROR(__xludf.DUMMYFUNCTION("""COMPUTED_VALUE"""),388)</f>
        <v>388</v>
      </c>
      <c r="B400" s="65" t="str">
        <f ca="1">IFERROR(__xludf.DUMMYFUNCTION("""COMPUTED_VALUE"""),"5720638")</f>
        <v>5720638</v>
      </c>
      <c r="C400" s="48" t="str">
        <f ca="1">IFERROR(__xludf.DUMMYFUNCTION("""COMPUTED_VALUE"""),"WINTERHALTER")</f>
        <v>WINTERHALTER</v>
      </c>
      <c r="D400" s="48" t="str">
        <f ca="1">IFERROR(__xludf.DUMMYFUNCTION("""COMPUTED_VALUE"""),"Morgan")</f>
        <v>Morgan</v>
      </c>
      <c r="E400" s="49" t="str">
        <f ca="1">IFERROR(__xludf.DUMMYFUNCTION("""COMPUTED_VALUE"""),"06570073")</f>
        <v>06570073</v>
      </c>
      <c r="F400" s="48" t="str">
        <f ca="1">IFERROR(__xludf.DUMMYFUNCTION("""COMPUTED_VALUE"""),"TERVILLE Tennis de Table")</f>
        <v>TERVILLE Tennis de Table</v>
      </c>
      <c r="G400" s="50" t="str">
        <f ca="1">IFERROR(__xludf.DUMMYFUNCTION("""COMPUTED_VALUE"""),"CD57")</f>
        <v>CD57</v>
      </c>
      <c r="H400" s="50" t="str">
        <f ca="1">IFERROR(__xludf.DUMMYFUNCTION("""COMPUTED_VALUE"""),"inactivité 2ème année")</f>
        <v>inactivité 2ème année</v>
      </c>
    </row>
    <row r="401" spans="1:8" ht="12.75">
      <c r="A401" s="46">
        <f ca="1">IFERROR(__xludf.DUMMYFUNCTION("""COMPUTED_VALUE"""),389)</f>
        <v>389</v>
      </c>
      <c r="B401" s="65" t="str">
        <f ca="1">IFERROR(__xludf.DUMMYFUNCTION("""COMPUTED_VALUE"""),"6727826")</f>
        <v>6727826</v>
      </c>
      <c r="C401" s="48" t="str">
        <f ca="1">IFERROR(__xludf.DUMMYFUNCTION("""COMPUTED_VALUE"""),"WISSMANN")</f>
        <v>WISSMANN</v>
      </c>
      <c r="D401" s="48" t="str">
        <f ca="1">IFERROR(__xludf.DUMMYFUNCTION("""COMPUTED_VALUE"""),"Raphael")</f>
        <v>Raphael</v>
      </c>
      <c r="E401" s="49" t="str">
        <f ca="1">IFERROR(__xludf.DUMMYFUNCTION("""COMPUTED_VALUE"""),"06670201")</f>
        <v>06670201</v>
      </c>
      <c r="F401" s="48" t="str">
        <f ca="1">IFERROR(__xludf.DUMMYFUNCTION("""COMPUTED_VALUE"""),"ESCHAU CTT")</f>
        <v>ESCHAU CTT</v>
      </c>
      <c r="G401" s="50" t="str">
        <f ca="1">IFERROR(__xludf.DUMMYFUNCTION("""COMPUTED_VALUE"""),"CD67")</f>
        <v>CD67</v>
      </c>
      <c r="H401" s="50" t="str">
        <f ca="1">IFERROR(__xludf.DUMMYFUNCTION("""COMPUTED_VALUE"""),"inactivité 1ère année")</f>
        <v>inactivité 1ère année</v>
      </c>
    </row>
    <row r="402" spans="1:8" ht="12.75">
      <c r="A402" s="46">
        <f ca="1">IFERROR(__xludf.DUMMYFUNCTION("""COMPUTED_VALUE"""),390)</f>
        <v>390</v>
      </c>
      <c r="B402" s="65" t="str">
        <f ca="1">IFERROR(__xludf.DUMMYFUNCTION("""COMPUTED_VALUE"""),"557350")</f>
        <v>557350</v>
      </c>
      <c r="C402" s="48" t="str">
        <f ca="1">IFERROR(__xludf.DUMMYFUNCTION("""COMPUTED_VALUE"""),"WITTMANN")</f>
        <v>WITTMANN</v>
      </c>
      <c r="D402" s="48" t="str">
        <f ca="1">IFERROR(__xludf.DUMMYFUNCTION("""COMPUTED_VALUE"""),"Jeremy")</f>
        <v>Jeremy</v>
      </c>
      <c r="E402" s="49" t="str">
        <f ca="1">IFERROR(__xludf.DUMMYFUNCTION("""COMPUTED_VALUE"""),"06540104")</f>
        <v>06540104</v>
      </c>
      <c r="F402" s="48" t="str">
        <f ca="1">IFERROR(__xludf.DUMMYFUNCTION("""COMPUTED_VALUE"""),"AUDUN LE ROMAN ASTT")</f>
        <v>AUDUN LE ROMAN ASTT</v>
      </c>
      <c r="G402" s="50" t="str">
        <f ca="1">IFERROR(__xludf.DUMMYFUNCTION("""COMPUTED_VALUE"""),"CD54")</f>
        <v>CD54</v>
      </c>
      <c r="H402" s="50" t="str">
        <f ca="1">IFERROR(__xludf.DUMMYFUNCTION("""COMPUTED_VALUE"""),"inactivité 2ème année")</f>
        <v>inactivité 2ème année</v>
      </c>
    </row>
    <row r="403" spans="1:8" ht="12.75">
      <c r="A403" s="46">
        <f ca="1">IFERROR(__xludf.DUMMYFUNCTION("""COMPUTED_VALUE"""),391)</f>
        <v>391</v>
      </c>
      <c r="B403" s="65" t="str">
        <f ca="1">IFERROR(__xludf.DUMMYFUNCTION("""COMPUTED_VALUE"""),"685386")</f>
        <v>685386</v>
      </c>
      <c r="C403" s="48" t="str">
        <f ca="1">IFERROR(__xludf.DUMMYFUNCTION("""COMPUTED_VALUE"""),"WOELFLI")</f>
        <v>WOELFLI</v>
      </c>
      <c r="D403" s="48" t="str">
        <f ca="1">IFERROR(__xludf.DUMMYFUNCTION("""COMPUTED_VALUE"""),"Auguste")</f>
        <v>Auguste</v>
      </c>
      <c r="E403" s="49" t="str">
        <f ca="1">IFERROR(__xludf.DUMMYFUNCTION("""COMPUTED_VALUE"""),"06680091")</f>
        <v>06680091</v>
      </c>
      <c r="F403" s="48" t="str">
        <f ca="1">IFERROR(__xludf.DUMMYFUNCTION("""COMPUTED_VALUE"""),"ILLZACH TTSJB")</f>
        <v>ILLZACH TTSJB</v>
      </c>
      <c r="G403" s="50" t="str">
        <f ca="1">IFERROR(__xludf.DUMMYFUNCTION("""COMPUTED_VALUE"""),"CD68")</f>
        <v>CD68</v>
      </c>
      <c r="H403" s="50" t="str">
        <f ca="1">IFERROR(__xludf.DUMMYFUNCTION("""COMPUTED_VALUE"""),"actif")</f>
        <v>actif</v>
      </c>
    </row>
    <row r="404" spans="1:8" ht="12.75">
      <c r="A404" s="46">
        <f ca="1">IFERROR(__xludf.DUMMYFUNCTION("""COMPUTED_VALUE"""),392)</f>
        <v>392</v>
      </c>
      <c r="B404" s="65" t="str">
        <f ca="1">IFERROR(__xludf.DUMMYFUNCTION("""COMPUTED_VALUE"""),"686947")</f>
        <v>686947</v>
      </c>
      <c r="C404" s="48" t="str">
        <f ca="1">IFERROR(__xludf.DUMMYFUNCTION("""COMPUTED_VALUE"""),"WOGENSTAHL")</f>
        <v>WOGENSTAHL</v>
      </c>
      <c r="D404" s="48" t="str">
        <f ca="1">IFERROR(__xludf.DUMMYFUNCTION("""COMPUTED_VALUE"""),"Steve")</f>
        <v>Steve</v>
      </c>
      <c r="E404" s="49" t="str">
        <f ca="1">IFERROR(__xludf.DUMMYFUNCTION("""COMPUTED_VALUE"""),"06680125")</f>
        <v>06680125</v>
      </c>
      <c r="F404" s="48" t="str">
        <f ca="1">IFERROR(__xludf.DUMMYFUNCTION("""COMPUTED_VALUE"""),"ROSENAU TT")</f>
        <v>ROSENAU TT</v>
      </c>
      <c r="G404" s="50" t="str">
        <f ca="1">IFERROR(__xludf.DUMMYFUNCTION("""COMPUTED_VALUE"""),"CD68")</f>
        <v>CD68</v>
      </c>
      <c r="H404" s="50" t="str">
        <f ca="1">IFERROR(__xludf.DUMMYFUNCTION("""COMPUTED_VALUE"""),"inactivité 1ère année")</f>
        <v>inactivité 1ère année</v>
      </c>
    </row>
    <row r="405" spans="1:8" ht="12.75">
      <c r="A405" s="46">
        <f ca="1">IFERROR(__xludf.DUMMYFUNCTION("""COMPUTED_VALUE"""),393)</f>
        <v>393</v>
      </c>
      <c r="B405" s="65" t="str">
        <f ca="1">IFERROR(__xludf.DUMMYFUNCTION("""COMPUTED_VALUE"""),"105079")</f>
        <v>105079</v>
      </c>
      <c r="C405" s="48" t="str">
        <f ca="1">IFERROR(__xludf.DUMMYFUNCTION("""COMPUTED_VALUE"""),"WORONOVYCZ")</f>
        <v>WORONOVYCZ</v>
      </c>
      <c r="D405" s="48" t="str">
        <f ca="1">IFERROR(__xludf.DUMMYFUNCTION("""COMPUTED_VALUE"""),"Joris")</f>
        <v>Joris</v>
      </c>
      <c r="E405" s="49" t="str">
        <f ca="1">IFERROR(__xludf.DUMMYFUNCTION("""COMPUTED_VALUE"""),"06100004")</f>
        <v>06100004</v>
      </c>
      <c r="F405" s="48" t="str">
        <f ca="1">IFERROR(__xludf.DUMMYFUNCTION("""COMPUTED_VALUE"""),"MOUSSEY CS")</f>
        <v>MOUSSEY CS</v>
      </c>
      <c r="G405" s="50" t="str">
        <f ca="1">IFERROR(__xludf.DUMMYFUNCTION("""COMPUTED_VALUE"""),"CD10")</f>
        <v>CD10</v>
      </c>
      <c r="H405" s="50" t="str">
        <f ca="1">IFERROR(__xludf.DUMMYFUNCTION("""COMPUTED_VALUE"""),"inactivité 1ère année")</f>
        <v>inactivité 1ère année</v>
      </c>
    </row>
    <row r="406" spans="1:8" ht="12.75">
      <c r="A406" s="46">
        <f ca="1">IFERROR(__xludf.DUMMYFUNCTION("""COMPUTED_VALUE"""),394)</f>
        <v>394</v>
      </c>
      <c r="B406" s="65" t="str">
        <f ca="1">IFERROR(__xludf.DUMMYFUNCTION("""COMPUTED_VALUE"""),"5718257")</f>
        <v>5718257</v>
      </c>
      <c r="C406" s="48" t="str">
        <f ca="1">IFERROR(__xludf.DUMMYFUNCTION("""COMPUTED_VALUE"""),"ZAMPIERI")</f>
        <v>ZAMPIERI</v>
      </c>
      <c r="D406" s="48" t="str">
        <f ca="1">IFERROR(__xludf.DUMMYFUNCTION("""COMPUTED_VALUE"""),"Frederic")</f>
        <v>Frederic</v>
      </c>
      <c r="E406" s="49" t="str">
        <f ca="1">IFERROR(__xludf.DUMMYFUNCTION("""COMPUTED_VALUE"""),"06570015")</f>
        <v>06570015</v>
      </c>
      <c r="F406" s="48" t="str">
        <f ca="1">IFERROR(__xludf.DUMMYFUNCTION("""COMPUTED_VALUE"""),"MONTIGNY LES METZ T.T.")</f>
        <v>MONTIGNY LES METZ T.T.</v>
      </c>
      <c r="G406" s="50" t="str">
        <f ca="1">IFERROR(__xludf.DUMMYFUNCTION("""COMPUTED_VALUE"""),"CD57")</f>
        <v>CD57</v>
      </c>
      <c r="H406" s="50" t="str">
        <f ca="1">IFERROR(__xludf.DUMMYFUNCTION("""COMPUTED_VALUE"""),"inactivité 2ème année")</f>
        <v>inactivité 2ème année</v>
      </c>
    </row>
    <row r="407" spans="1:8" ht="12.75">
      <c r="A407" s="46">
        <f ca="1">IFERROR(__xludf.DUMMYFUNCTION("""COMPUTED_VALUE"""),395)</f>
        <v>395</v>
      </c>
      <c r="B407" s="65" t="str">
        <f ca="1">IFERROR(__xludf.DUMMYFUNCTION("""COMPUTED_VALUE"""),"6724209")</f>
        <v>6724209</v>
      </c>
      <c r="C407" s="48" t="str">
        <f ca="1">IFERROR(__xludf.DUMMYFUNCTION("""COMPUTED_VALUE"""),"ZEIGER")</f>
        <v>ZEIGER</v>
      </c>
      <c r="D407" s="48" t="str">
        <f ca="1">IFERROR(__xludf.DUMMYFUNCTION("""COMPUTED_VALUE"""),"Maxime")</f>
        <v>Maxime</v>
      </c>
      <c r="E407" s="49" t="str">
        <f ca="1">IFERROR(__xludf.DUMMYFUNCTION("""COMPUTED_VALUE"""),"06670122")</f>
        <v>06670122</v>
      </c>
      <c r="F407" s="48" t="str">
        <f ca="1">IFERROR(__xludf.DUMMYFUNCTION("""COMPUTED_VALUE"""),"OBERNAI CA")</f>
        <v>OBERNAI CA</v>
      </c>
      <c r="G407" s="50" t="str">
        <f ca="1">IFERROR(__xludf.DUMMYFUNCTION("""COMPUTED_VALUE"""),"CD67")</f>
        <v>CD67</v>
      </c>
      <c r="H407" s="50" t="str">
        <f ca="1">IFERROR(__xludf.DUMMYFUNCTION("""COMPUTED_VALUE"""),"inactivité 1ère année")</f>
        <v>inactivité 1ère année</v>
      </c>
    </row>
    <row r="408" spans="1:8" ht="12.75">
      <c r="A408" s="46">
        <f ca="1">IFERROR(__xludf.DUMMYFUNCTION("""COMPUTED_VALUE"""),396)</f>
        <v>396</v>
      </c>
      <c r="B408" s="65" t="str">
        <f ca="1">IFERROR(__xludf.DUMMYFUNCTION("""COMPUTED_VALUE"""),"679398")</f>
        <v>679398</v>
      </c>
      <c r="C408" s="48" t="str">
        <f ca="1">IFERROR(__xludf.DUMMYFUNCTION("""COMPUTED_VALUE"""),"ZICKLER")</f>
        <v>ZICKLER</v>
      </c>
      <c r="D408" s="48" t="str">
        <f ca="1">IFERROR(__xludf.DUMMYFUNCTION("""COMPUTED_VALUE"""),"Etienne")</f>
        <v>Etienne</v>
      </c>
      <c r="E408" s="49" t="str">
        <f ca="1">IFERROR(__xludf.DUMMYFUNCTION("""COMPUTED_VALUE"""),"06670221")</f>
        <v>06670221</v>
      </c>
      <c r="F408" s="48" t="str">
        <f ca="1">IFERROR(__xludf.DUMMYFUNCTION("""COMPUTED_VALUE"""),"BARR Tennis de Table")</f>
        <v>BARR Tennis de Table</v>
      </c>
      <c r="G408" s="50" t="str">
        <f ca="1">IFERROR(__xludf.DUMMYFUNCTION("""COMPUTED_VALUE"""),"CD67")</f>
        <v>CD67</v>
      </c>
      <c r="H408" s="50" t="str">
        <f ca="1">IFERROR(__xludf.DUMMYFUNCTION("""COMPUTED_VALUE"""),"inactivité 2ème année")</f>
        <v>inactivité 2ème année</v>
      </c>
    </row>
    <row r="409" spans="1:8" ht="12.75">
      <c r="A409" s="46">
        <f ca="1">IFERROR(__xludf.DUMMYFUNCTION("""COMPUTED_VALUE"""),397)</f>
        <v>397</v>
      </c>
      <c r="B409" s="65" t="str">
        <f ca="1">IFERROR(__xludf.DUMMYFUNCTION("""COMPUTED_VALUE"""),"5712948")</f>
        <v>5712948</v>
      </c>
      <c r="C409" s="48" t="str">
        <f ca="1">IFERROR(__xludf.DUMMYFUNCTION("""COMPUTED_VALUE"""),"ZIEGELMEYER")</f>
        <v>ZIEGELMEYER</v>
      </c>
      <c r="D409" s="48" t="str">
        <f ca="1">IFERROR(__xludf.DUMMYFUNCTION("""COMPUTED_VALUE"""),"Joël")</f>
        <v>Joël</v>
      </c>
      <c r="E409" s="49" t="str">
        <f ca="1">IFERROR(__xludf.DUMMYFUNCTION("""COMPUTED_VALUE"""),"06570174")</f>
        <v>06570174</v>
      </c>
      <c r="F409" s="48" t="str">
        <f ca="1">IFERROR(__xludf.DUMMYFUNCTION("""COMPUTED_VALUE"""),"BERTRANGE-DISTROFF TT")</f>
        <v>BERTRANGE-DISTROFF TT</v>
      </c>
      <c r="G409" s="50" t="str">
        <f ca="1">IFERROR(__xludf.DUMMYFUNCTION("""COMPUTED_VALUE"""),"CD57")</f>
        <v>CD57</v>
      </c>
      <c r="H409" s="50" t="str">
        <f ca="1">IFERROR(__xludf.DUMMYFUNCTION("""COMPUTED_VALUE"""),"inactivité 1ère année")</f>
        <v>inactivité 1ère année</v>
      </c>
    </row>
    <row r="410" spans="1:8" ht="12.75">
      <c r="A410" s="46">
        <f ca="1">IFERROR(__xludf.DUMMYFUNCTION("""COMPUTED_VALUE"""),398)</f>
        <v>398</v>
      </c>
      <c r="B410" s="65" t="str">
        <f ca="1">IFERROR(__xludf.DUMMYFUNCTION("""COMPUTED_VALUE"""),"525152")</f>
        <v>525152</v>
      </c>
      <c r="C410" s="48" t="str">
        <f ca="1">IFERROR(__xludf.DUMMYFUNCTION("""COMPUTED_VALUE"""),"ZOL")</f>
        <v>ZOL</v>
      </c>
      <c r="D410" s="48" t="str">
        <f ca="1">IFERROR(__xludf.DUMMYFUNCTION("""COMPUTED_VALUE"""),"Hélène")</f>
        <v>Hélène</v>
      </c>
      <c r="E410" s="49" t="str">
        <f ca="1">IFERROR(__xludf.DUMMYFUNCTION("""COMPUTED_VALUE"""),"06520003")</f>
        <v>06520003</v>
      </c>
      <c r="F410" s="48" t="str">
        <f ca="1">IFERROR(__xludf.DUMMYFUNCTION("""COMPUTED_VALUE"""),"EURVILLE BIENVILLE Jeunes")</f>
        <v>EURVILLE BIENVILLE Jeunes</v>
      </c>
      <c r="G410" s="50" t="str">
        <f ca="1">IFERROR(__xludf.DUMMYFUNCTION("""COMPUTED_VALUE"""),"CD52")</f>
        <v>CD52</v>
      </c>
      <c r="H410" s="50" t="str">
        <f ca="1">IFERROR(__xludf.DUMMYFUNCTION("""COMPUTED_VALUE"""),"inactivité 1ère année")</f>
        <v>inactivité 1ère année</v>
      </c>
    </row>
    <row r="411" spans="1:8" ht="12.75">
      <c r="A411" s="46" t="str">
        <f ca="1">IFERROR(__xludf.DUMMYFUNCTION("""COMPUTED_VALUE"""),"")</f>
        <v/>
      </c>
      <c r="B411" s="65"/>
      <c r="C411" s="48" t="str">
        <f ca="1">IFERROR(__xludf.DUMMYFUNCTION("""COMPUTED_VALUE"""),"")</f>
        <v/>
      </c>
      <c r="D411" s="48" t="str">
        <f ca="1">IFERROR(__xludf.DUMMYFUNCTION("""COMPUTED_VALUE"""),"")</f>
        <v/>
      </c>
      <c r="E411" s="49" t="str">
        <f ca="1">IFERROR(__xludf.DUMMYFUNCTION("""COMPUTED_VALUE"""),"")</f>
        <v/>
      </c>
      <c r="F411" s="48" t="str">
        <f ca="1">IFERROR(__xludf.DUMMYFUNCTION("""COMPUTED_VALUE"""),"")</f>
        <v/>
      </c>
      <c r="G411" s="50" t="str">
        <f ca="1">IFERROR(__xludf.DUMMYFUNCTION("""COMPUTED_VALUE"""),"")</f>
        <v/>
      </c>
      <c r="H411" s="50" t="str">
        <f ca="1">IFERROR(__xludf.DUMMYFUNCTION("""COMPUTED_VALUE"""),"")</f>
        <v/>
      </c>
    </row>
    <row r="412" spans="1:8" ht="12.75">
      <c r="A412" s="46" t="str">
        <f ca="1">IFERROR(__xludf.DUMMYFUNCTION("""COMPUTED_VALUE"""),"")</f>
        <v/>
      </c>
      <c r="B412" s="65"/>
      <c r="C412" s="48" t="str">
        <f ca="1">IFERROR(__xludf.DUMMYFUNCTION("""COMPUTED_VALUE"""),"")</f>
        <v/>
      </c>
      <c r="D412" s="48" t="str">
        <f ca="1">IFERROR(__xludf.DUMMYFUNCTION("""COMPUTED_VALUE"""),"")</f>
        <v/>
      </c>
      <c r="E412" s="49" t="str">
        <f ca="1">IFERROR(__xludf.DUMMYFUNCTION("""COMPUTED_VALUE"""),"")</f>
        <v/>
      </c>
      <c r="F412" s="48" t="str">
        <f ca="1">IFERROR(__xludf.DUMMYFUNCTION("""COMPUTED_VALUE"""),"")</f>
        <v/>
      </c>
      <c r="G412" s="50" t="str">
        <f ca="1">IFERROR(__xludf.DUMMYFUNCTION("""COMPUTED_VALUE"""),"")</f>
        <v/>
      </c>
      <c r="H412" s="50" t="str">
        <f ca="1">IFERROR(__xludf.DUMMYFUNCTION("""COMPUTED_VALUE"""),"")</f>
        <v/>
      </c>
    </row>
    <row r="413" spans="1:8" ht="12.75">
      <c r="A413" s="46" t="str">
        <f ca="1">IFERROR(__xludf.DUMMYFUNCTION("""COMPUTED_VALUE"""),"")</f>
        <v/>
      </c>
      <c r="B413" s="65"/>
      <c r="C413" s="48" t="str">
        <f ca="1">IFERROR(__xludf.DUMMYFUNCTION("""COMPUTED_VALUE"""),"")</f>
        <v/>
      </c>
      <c r="D413" s="48" t="str">
        <f ca="1">IFERROR(__xludf.DUMMYFUNCTION("""COMPUTED_VALUE"""),"")</f>
        <v/>
      </c>
      <c r="E413" s="49" t="str">
        <f ca="1">IFERROR(__xludf.DUMMYFUNCTION("""COMPUTED_VALUE"""),"")</f>
        <v/>
      </c>
      <c r="F413" s="48" t="str">
        <f ca="1">IFERROR(__xludf.DUMMYFUNCTION("""COMPUTED_VALUE"""),"")</f>
        <v/>
      </c>
      <c r="G413" s="50" t="str">
        <f ca="1">IFERROR(__xludf.DUMMYFUNCTION("""COMPUTED_VALUE"""),"")</f>
        <v/>
      </c>
      <c r="H413" s="50" t="str">
        <f ca="1">IFERROR(__xludf.DUMMYFUNCTION("""COMPUTED_VALUE"""),"")</f>
        <v/>
      </c>
    </row>
    <row r="414" spans="1:8" ht="12.75">
      <c r="A414" s="46" t="str">
        <f ca="1">IFERROR(__xludf.DUMMYFUNCTION("""COMPUTED_VALUE"""),"")</f>
        <v/>
      </c>
      <c r="B414" s="65"/>
      <c r="C414" s="48" t="str">
        <f ca="1">IFERROR(__xludf.DUMMYFUNCTION("""COMPUTED_VALUE"""),"")</f>
        <v/>
      </c>
      <c r="D414" s="48" t="str">
        <f ca="1">IFERROR(__xludf.DUMMYFUNCTION("""COMPUTED_VALUE"""),"")</f>
        <v/>
      </c>
      <c r="E414" s="49" t="str">
        <f ca="1">IFERROR(__xludf.DUMMYFUNCTION("""COMPUTED_VALUE"""),"")</f>
        <v/>
      </c>
      <c r="F414" s="48" t="str">
        <f ca="1">IFERROR(__xludf.DUMMYFUNCTION("""COMPUTED_VALUE"""),"")</f>
        <v/>
      </c>
      <c r="G414" s="50" t="str">
        <f ca="1">IFERROR(__xludf.DUMMYFUNCTION("""COMPUTED_VALUE"""),"")</f>
        <v/>
      </c>
      <c r="H414" s="50" t="str">
        <f ca="1">IFERROR(__xludf.DUMMYFUNCTION("""COMPUTED_VALUE"""),"")</f>
        <v/>
      </c>
    </row>
    <row r="415" spans="1:8" ht="12.75">
      <c r="A415" s="46" t="str">
        <f ca="1">IFERROR(__xludf.DUMMYFUNCTION("""COMPUTED_VALUE"""),"")</f>
        <v/>
      </c>
      <c r="B415" s="65"/>
      <c r="C415" s="48" t="str">
        <f ca="1">IFERROR(__xludf.DUMMYFUNCTION("""COMPUTED_VALUE"""),"")</f>
        <v/>
      </c>
      <c r="D415" s="48" t="str">
        <f ca="1">IFERROR(__xludf.DUMMYFUNCTION("""COMPUTED_VALUE"""),"")</f>
        <v/>
      </c>
      <c r="E415" s="49" t="str">
        <f ca="1">IFERROR(__xludf.DUMMYFUNCTION("""COMPUTED_VALUE"""),"")</f>
        <v/>
      </c>
      <c r="F415" s="48" t="str">
        <f ca="1">IFERROR(__xludf.DUMMYFUNCTION("""COMPUTED_VALUE"""),"")</f>
        <v/>
      </c>
      <c r="G415" s="50" t="str">
        <f ca="1">IFERROR(__xludf.DUMMYFUNCTION("""COMPUTED_VALUE"""),"")</f>
        <v/>
      </c>
      <c r="H415" s="50" t="str">
        <f ca="1">IFERROR(__xludf.DUMMYFUNCTION("""COMPUTED_VALUE"""),"")</f>
        <v/>
      </c>
    </row>
    <row r="416" spans="1:8" ht="12.75">
      <c r="A416" s="46" t="str">
        <f ca="1">IFERROR(__xludf.DUMMYFUNCTION("""COMPUTED_VALUE"""),"")</f>
        <v/>
      </c>
      <c r="B416" s="65"/>
      <c r="C416" s="48" t="str">
        <f ca="1">IFERROR(__xludf.DUMMYFUNCTION("""COMPUTED_VALUE"""),"")</f>
        <v/>
      </c>
      <c r="D416" s="48" t="str">
        <f ca="1">IFERROR(__xludf.DUMMYFUNCTION("""COMPUTED_VALUE"""),"")</f>
        <v/>
      </c>
      <c r="E416" s="49" t="str">
        <f ca="1">IFERROR(__xludf.DUMMYFUNCTION("""COMPUTED_VALUE"""),"")</f>
        <v/>
      </c>
      <c r="F416" s="48" t="str">
        <f ca="1">IFERROR(__xludf.DUMMYFUNCTION("""COMPUTED_VALUE"""),"")</f>
        <v/>
      </c>
      <c r="G416" s="50" t="str">
        <f ca="1">IFERROR(__xludf.DUMMYFUNCTION("""COMPUTED_VALUE"""),"")</f>
        <v/>
      </c>
      <c r="H416" s="50" t="str">
        <f ca="1">IFERROR(__xludf.DUMMYFUNCTION("""COMPUTED_VALUE"""),"")</f>
        <v/>
      </c>
    </row>
    <row r="417" spans="1:8" ht="12.75">
      <c r="A417" s="46" t="str">
        <f ca="1">IFERROR(__xludf.DUMMYFUNCTION("""COMPUTED_VALUE"""),"")</f>
        <v/>
      </c>
      <c r="B417" s="65"/>
      <c r="C417" s="48" t="str">
        <f ca="1">IFERROR(__xludf.DUMMYFUNCTION("""COMPUTED_VALUE"""),"")</f>
        <v/>
      </c>
      <c r="D417" s="48" t="str">
        <f ca="1">IFERROR(__xludf.DUMMYFUNCTION("""COMPUTED_VALUE"""),"")</f>
        <v/>
      </c>
      <c r="E417" s="49" t="str">
        <f ca="1">IFERROR(__xludf.DUMMYFUNCTION("""COMPUTED_VALUE"""),"")</f>
        <v/>
      </c>
      <c r="F417" s="48" t="str">
        <f ca="1">IFERROR(__xludf.DUMMYFUNCTION("""COMPUTED_VALUE"""),"")</f>
        <v/>
      </c>
      <c r="G417" s="50" t="str">
        <f ca="1">IFERROR(__xludf.DUMMYFUNCTION("""COMPUTED_VALUE"""),"")</f>
        <v/>
      </c>
      <c r="H417" s="50" t="str">
        <f ca="1">IFERROR(__xludf.DUMMYFUNCTION("""COMPUTED_VALUE"""),"")</f>
        <v/>
      </c>
    </row>
    <row r="418" spans="1:8" ht="12.75">
      <c r="A418" s="46" t="str">
        <f ca="1">IFERROR(__xludf.DUMMYFUNCTION("""COMPUTED_VALUE"""),"")</f>
        <v/>
      </c>
      <c r="B418" s="65"/>
      <c r="C418" s="48" t="str">
        <f ca="1">IFERROR(__xludf.DUMMYFUNCTION("""COMPUTED_VALUE"""),"")</f>
        <v/>
      </c>
      <c r="D418" s="48" t="str">
        <f ca="1">IFERROR(__xludf.DUMMYFUNCTION("""COMPUTED_VALUE"""),"")</f>
        <v/>
      </c>
      <c r="E418" s="49" t="str">
        <f ca="1">IFERROR(__xludf.DUMMYFUNCTION("""COMPUTED_VALUE"""),"")</f>
        <v/>
      </c>
      <c r="F418" s="48" t="str">
        <f ca="1">IFERROR(__xludf.DUMMYFUNCTION("""COMPUTED_VALUE"""),"")</f>
        <v/>
      </c>
      <c r="G418" s="50" t="str">
        <f ca="1">IFERROR(__xludf.DUMMYFUNCTION("""COMPUTED_VALUE"""),"")</f>
        <v/>
      </c>
      <c r="H418" s="50" t="str">
        <f ca="1">IFERROR(__xludf.DUMMYFUNCTION("""COMPUTED_VALUE"""),"")</f>
        <v/>
      </c>
    </row>
    <row r="419" spans="1:8" ht="12.75">
      <c r="A419" s="46" t="str">
        <f ca="1">IFERROR(__xludf.DUMMYFUNCTION("""COMPUTED_VALUE"""),"")</f>
        <v/>
      </c>
      <c r="B419" s="65"/>
      <c r="C419" s="48" t="str">
        <f ca="1">IFERROR(__xludf.DUMMYFUNCTION("""COMPUTED_VALUE"""),"")</f>
        <v/>
      </c>
      <c r="D419" s="48" t="str">
        <f ca="1">IFERROR(__xludf.DUMMYFUNCTION("""COMPUTED_VALUE"""),"")</f>
        <v/>
      </c>
      <c r="E419" s="49" t="str">
        <f ca="1">IFERROR(__xludf.DUMMYFUNCTION("""COMPUTED_VALUE"""),"")</f>
        <v/>
      </c>
      <c r="F419" s="48" t="str">
        <f ca="1">IFERROR(__xludf.DUMMYFUNCTION("""COMPUTED_VALUE"""),"")</f>
        <v/>
      </c>
      <c r="G419" s="50" t="str">
        <f ca="1">IFERROR(__xludf.DUMMYFUNCTION("""COMPUTED_VALUE"""),"")</f>
        <v/>
      </c>
      <c r="H419" s="50" t="str">
        <f ca="1">IFERROR(__xludf.DUMMYFUNCTION("""COMPUTED_VALUE"""),"")</f>
        <v/>
      </c>
    </row>
    <row r="420" spans="1:8" ht="12.75">
      <c r="A420" s="46" t="str">
        <f ca="1">IFERROR(__xludf.DUMMYFUNCTION("""COMPUTED_VALUE"""),"")</f>
        <v/>
      </c>
      <c r="B420" s="65"/>
      <c r="C420" s="48" t="str">
        <f ca="1">IFERROR(__xludf.DUMMYFUNCTION("""COMPUTED_VALUE"""),"")</f>
        <v/>
      </c>
      <c r="D420" s="48" t="str">
        <f ca="1">IFERROR(__xludf.DUMMYFUNCTION("""COMPUTED_VALUE"""),"")</f>
        <v/>
      </c>
      <c r="E420" s="49" t="str">
        <f ca="1">IFERROR(__xludf.DUMMYFUNCTION("""COMPUTED_VALUE"""),"")</f>
        <v/>
      </c>
      <c r="F420" s="48" t="str">
        <f ca="1">IFERROR(__xludf.DUMMYFUNCTION("""COMPUTED_VALUE"""),"")</f>
        <v/>
      </c>
      <c r="G420" s="50" t="str">
        <f ca="1">IFERROR(__xludf.DUMMYFUNCTION("""COMPUTED_VALUE"""),"")</f>
        <v/>
      </c>
      <c r="H420" s="50" t="str">
        <f ca="1">IFERROR(__xludf.DUMMYFUNCTION("""COMPUTED_VALUE"""),"")</f>
        <v/>
      </c>
    </row>
    <row r="421" spans="1:8" ht="12.75">
      <c r="A421" s="46" t="str">
        <f ca="1">IFERROR(__xludf.DUMMYFUNCTION("""COMPUTED_VALUE"""),"")</f>
        <v/>
      </c>
      <c r="B421" s="65"/>
      <c r="C421" s="48" t="str">
        <f ca="1">IFERROR(__xludf.DUMMYFUNCTION("""COMPUTED_VALUE"""),"")</f>
        <v/>
      </c>
      <c r="D421" s="48" t="str">
        <f ca="1">IFERROR(__xludf.DUMMYFUNCTION("""COMPUTED_VALUE"""),"")</f>
        <v/>
      </c>
      <c r="E421" s="49" t="str">
        <f ca="1">IFERROR(__xludf.DUMMYFUNCTION("""COMPUTED_VALUE"""),"")</f>
        <v/>
      </c>
      <c r="F421" s="48" t="str">
        <f ca="1">IFERROR(__xludf.DUMMYFUNCTION("""COMPUTED_VALUE"""),"")</f>
        <v/>
      </c>
      <c r="G421" s="50" t="str">
        <f ca="1">IFERROR(__xludf.DUMMYFUNCTION("""COMPUTED_VALUE"""),"")</f>
        <v/>
      </c>
      <c r="H421" s="50" t="str">
        <f ca="1">IFERROR(__xludf.DUMMYFUNCTION("""COMPUTED_VALUE"""),"")</f>
        <v/>
      </c>
    </row>
    <row r="422" spans="1:8" ht="12.75">
      <c r="A422" s="46" t="str">
        <f ca="1">IFERROR(__xludf.DUMMYFUNCTION("""COMPUTED_VALUE"""),"")</f>
        <v/>
      </c>
      <c r="B422" s="65"/>
      <c r="C422" s="48" t="str">
        <f ca="1">IFERROR(__xludf.DUMMYFUNCTION("""COMPUTED_VALUE"""),"")</f>
        <v/>
      </c>
      <c r="D422" s="48" t="str">
        <f ca="1">IFERROR(__xludf.DUMMYFUNCTION("""COMPUTED_VALUE"""),"")</f>
        <v/>
      </c>
      <c r="E422" s="49" t="str">
        <f ca="1">IFERROR(__xludf.DUMMYFUNCTION("""COMPUTED_VALUE"""),"")</f>
        <v/>
      </c>
      <c r="F422" s="48" t="str">
        <f ca="1">IFERROR(__xludf.DUMMYFUNCTION("""COMPUTED_VALUE"""),"")</f>
        <v/>
      </c>
      <c r="G422" s="50" t="str">
        <f ca="1">IFERROR(__xludf.DUMMYFUNCTION("""COMPUTED_VALUE"""),"")</f>
        <v/>
      </c>
      <c r="H422" s="50" t="str">
        <f ca="1">IFERROR(__xludf.DUMMYFUNCTION("""COMPUTED_VALUE"""),"")</f>
        <v/>
      </c>
    </row>
    <row r="423" spans="1:8" ht="12.75">
      <c r="A423" s="46" t="str">
        <f ca="1">IFERROR(__xludf.DUMMYFUNCTION("""COMPUTED_VALUE"""),"")</f>
        <v/>
      </c>
      <c r="B423" s="65"/>
      <c r="C423" s="48" t="str">
        <f ca="1">IFERROR(__xludf.DUMMYFUNCTION("""COMPUTED_VALUE"""),"")</f>
        <v/>
      </c>
      <c r="D423" s="48" t="str">
        <f ca="1">IFERROR(__xludf.DUMMYFUNCTION("""COMPUTED_VALUE"""),"")</f>
        <v/>
      </c>
      <c r="E423" s="49" t="str">
        <f ca="1">IFERROR(__xludf.DUMMYFUNCTION("""COMPUTED_VALUE"""),"")</f>
        <v/>
      </c>
      <c r="F423" s="48" t="str">
        <f ca="1">IFERROR(__xludf.DUMMYFUNCTION("""COMPUTED_VALUE"""),"")</f>
        <v/>
      </c>
      <c r="G423" s="50" t="str">
        <f ca="1">IFERROR(__xludf.DUMMYFUNCTION("""COMPUTED_VALUE"""),"")</f>
        <v/>
      </c>
      <c r="H423" s="50" t="str">
        <f ca="1">IFERROR(__xludf.DUMMYFUNCTION("""COMPUTED_VALUE"""),"")</f>
        <v/>
      </c>
    </row>
    <row r="424" spans="1:8" ht="12.75">
      <c r="A424" s="46" t="str">
        <f ca="1">IFERROR(__xludf.DUMMYFUNCTION("""COMPUTED_VALUE"""),"")</f>
        <v/>
      </c>
      <c r="B424" s="65"/>
      <c r="C424" s="48" t="str">
        <f ca="1">IFERROR(__xludf.DUMMYFUNCTION("""COMPUTED_VALUE"""),"")</f>
        <v/>
      </c>
      <c r="D424" s="48" t="str">
        <f ca="1">IFERROR(__xludf.DUMMYFUNCTION("""COMPUTED_VALUE"""),"")</f>
        <v/>
      </c>
      <c r="E424" s="49" t="str">
        <f ca="1">IFERROR(__xludf.DUMMYFUNCTION("""COMPUTED_VALUE"""),"")</f>
        <v/>
      </c>
      <c r="F424" s="48" t="str">
        <f ca="1">IFERROR(__xludf.DUMMYFUNCTION("""COMPUTED_VALUE"""),"")</f>
        <v/>
      </c>
      <c r="G424" s="50" t="str">
        <f ca="1">IFERROR(__xludf.DUMMYFUNCTION("""COMPUTED_VALUE"""),"")</f>
        <v/>
      </c>
      <c r="H424" s="50" t="str">
        <f ca="1">IFERROR(__xludf.DUMMYFUNCTION("""COMPUTED_VALUE"""),"")</f>
        <v/>
      </c>
    </row>
    <row r="425" spans="1:8" ht="12.75">
      <c r="A425" s="46" t="str">
        <f ca="1">IFERROR(__xludf.DUMMYFUNCTION("""COMPUTED_VALUE"""),"")</f>
        <v/>
      </c>
      <c r="B425" s="65"/>
      <c r="C425" s="48" t="str">
        <f ca="1">IFERROR(__xludf.DUMMYFUNCTION("""COMPUTED_VALUE"""),"")</f>
        <v/>
      </c>
      <c r="D425" s="48" t="str">
        <f ca="1">IFERROR(__xludf.DUMMYFUNCTION("""COMPUTED_VALUE"""),"")</f>
        <v/>
      </c>
      <c r="E425" s="49" t="str">
        <f ca="1">IFERROR(__xludf.DUMMYFUNCTION("""COMPUTED_VALUE"""),"")</f>
        <v/>
      </c>
      <c r="F425" s="48" t="str">
        <f ca="1">IFERROR(__xludf.DUMMYFUNCTION("""COMPUTED_VALUE"""),"")</f>
        <v/>
      </c>
      <c r="G425" s="50" t="str">
        <f ca="1">IFERROR(__xludf.DUMMYFUNCTION("""COMPUTED_VALUE"""),"")</f>
        <v/>
      </c>
      <c r="H425" s="50" t="str">
        <f ca="1">IFERROR(__xludf.DUMMYFUNCTION("""COMPUTED_VALUE"""),"")</f>
        <v/>
      </c>
    </row>
    <row r="426" spans="1:8" ht="12.75">
      <c r="A426" s="46" t="str">
        <f ca="1">IFERROR(__xludf.DUMMYFUNCTION("""COMPUTED_VALUE"""),"")</f>
        <v/>
      </c>
      <c r="B426" s="65"/>
      <c r="C426" s="48" t="str">
        <f ca="1">IFERROR(__xludf.DUMMYFUNCTION("""COMPUTED_VALUE"""),"")</f>
        <v/>
      </c>
      <c r="D426" s="48" t="str">
        <f ca="1">IFERROR(__xludf.DUMMYFUNCTION("""COMPUTED_VALUE"""),"")</f>
        <v/>
      </c>
      <c r="E426" s="49" t="str">
        <f ca="1">IFERROR(__xludf.DUMMYFUNCTION("""COMPUTED_VALUE"""),"")</f>
        <v/>
      </c>
      <c r="F426" s="48" t="str">
        <f ca="1">IFERROR(__xludf.DUMMYFUNCTION("""COMPUTED_VALUE"""),"")</f>
        <v/>
      </c>
      <c r="G426" s="50" t="str">
        <f ca="1">IFERROR(__xludf.DUMMYFUNCTION("""COMPUTED_VALUE"""),"")</f>
        <v/>
      </c>
      <c r="H426" s="50" t="str">
        <f ca="1">IFERROR(__xludf.DUMMYFUNCTION("""COMPUTED_VALUE"""),"")</f>
        <v/>
      </c>
    </row>
    <row r="427" spans="1:8" ht="12.75">
      <c r="A427" s="46" t="str">
        <f ca="1">IFERROR(__xludf.DUMMYFUNCTION("""COMPUTED_VALUE"""),"")</f>
        <v/>
      </c>
      <c r="B427" s="65"/>
      <c r="C427" s="48" t="str">
        <f ca="1">IFERROR(__xludf.DUMMYFUNCTION("""COMPUTED_VALUE"""),"")</f>
        <v/>
      </c>
      <c r="D427" s="48" t="str">
        <f ca="1">IFERROR(__xludf.DUMMYFUNCTION("""COMPUTED_VALUE"""),"")</f>
        <v/>
      </c>
      <c r="E427" s="49" t="str">
        <f ca="1">IFERROR(__xludf.DUMMYFUNCTION("""COMPUTED_VALUE"""),"")</f>
        <v/>
      </c>
      <c r="F427" s="48" t="str">
        <f ca="1">IFERROR(__xludf.DUMMYFUNCTION("""COMPUTED_VALUE"""),"")</f>
        <v/>
      </c>
      <c r="G427" s="50" t="str">
        <f ca="1">IFERROR(__xludf.DUMMYFUNCTION("""COMPUTED_VALUE"""),"")</f>
        <v/>
      </c>
      <c r="H427" s="50" t="str">
        <f ca="1">IFERROR(__xludf.DUMMYFUNCTION("""COMPUTED_VALUE"""),"")</f>
        <v/>
      </c>
    </row>
    <row r="428" spans="1:8" ht="12.75">
      <c r="A428" s="46" t="str">
        <f ca="1">IFERROR(__xludf.DUMMYFUNCTION("""COMPUTED_VALUE"""),"")</f>
        <v/>
      </c>
      <c r="B428" s="65"/>
      <c r="C428" s="48" t="str">
        <f ca="1">IFERROR(__xludf.DUMMYFUNCTION("""COMPUTED_VALUE"""),"")</f>
        <v/>
      </c>
      <c r="D428" s="48" t="str">
        <f ca="1">IFERROR(__xludf.DUMMYFUNCTION("""COMPUTED_VALUE"""),"")</f>
        <v/>
      </c>
      <c r="E428" s="49" t="str">
        <f ca="1">IFERROR(__xludf.DUMMYFUNCTION("""COMPUTED_VALUE"""),"")</f>
        <v/>
      </c>
      <c r="F428" s="48" t="str">
        <f ca="1">IFERROR(__xludf.DUMMYFUNCTION("""COMPUTED_VALUE"""),"")</f>
        <v/>
      </c>
      <c r="G428" s="50" t="str">
        <f ca="1">IFERROR(__xludf.DUMMYFUNCTION("""COMPUTED_VALUE"""),"")</f>
        <v/>
      </c>
      <c r="H428" s="50" t="str">
        <f ca="1">IFERROR(__xludf.DUMMYFUNCTION("""COMPUTED_VALUE"""),"")</f>
        <v/>
      </c>
    </row>
    <row r="429" spans="1:8" ht="12.75">
      <c r="A429" s="46" t="str">
        <f ca="1">IFERROR(__xludf.DUMMYFUNCTION("""COMPUTED_VALUE"""),"")</f>
        <v/>
      </c>
      <c r="B429" s="65"/>
      <c r="C429" s="48" t="str">
        <f ca="1">IFERROR(__xludf.DUMMYFUNCTION("""COMPUTED_VALUE"""),"")</f>
        <v/>
      </c>
      <c r="D429" s="48" t="str">
        <f ca="1">IFERROR(__xludf.DUMMYFUNCTION("""COMPUTED_VALUE"""),"")</f>
        <v/>
      </c>
      <c r="E429" s="49" t="str">
        <f ca="1">IFERROR(__xludf.DUMMYFUNCTION("""COMPUTED_VALUE"""),"")</f>
        <v/>
      </c>
      <c r="F429" s="48" t="str">
        <f ca="1">IFERROR(__xludf.DUMMYFUNCTION("""COMPUTED_VALUE"""),"")</f>
        <v/>
      </c>
      <c r="G429" s="50" t="str">
        <f ca="1">IFERROR(__xludf.DUMMYFUNCTION("""COMPUTED_VALUE"""),"")</f>
        <v/>
      </c>
      <c r="H429" s="50" t="str">
        <f ca="1">IFERROR(__xludf.DUMMYFUNCTION("""COMPUTED_VALUE"""),"")</f>
        <v/>
      </c>
    </row>
    <row r="430" spans="1:8" ht="12.75">
      <c r="A430" s="46" t="str">
        <f ca="1">IFERROR(__xludf.DUMMYFUNCTION("""COMPUTED_VALUE"""),"")</f>
        <v/>
      </c>
      <c r="B430" s="65"/>
      <c r="C430" s="48" t="str">
        <f ca="1">IFERROR(__xludf.DUMMYFUNCTION("""COMPUTED_VALUE"""),"")</f>
        <v/>
      </c>
      <c r="D430" s="48" t="str">
        <f ca="1">IFERROR(__xludf.DUMMYFUNCTION("""COMPUTED_VALUE"""),"")</f>
        <v/>
      </c>
      <c r="E430" s="49" t="str">
        <f ca="1">IFERROR(__xludf.DUMMYFUNCTION("""COMPUTED_VALUE"""),"")</f>
        <v/>
      </c>
      <c r="F430" s="48" t="str">
        <f ca="1">IFERROR(__xludf.DUMMYFUNCTION("""COMPUTED_VALUE"""),"")</f>
        <v/>
      </c>
      <c r="G430" s="50" t="str">
        <f ca="1">IFERROR(__xludf.DUMMYFUNCTION("""COMPUTED_VALUE"""),"")</f>
        <v/>
      </c>
      <c r="H430" s="50" t="str">
        <f ca="1">IFERROR(__xludf.DUMMYFUNCTION("""COMPUTED_VALUE"""),"")</f>
        <v/>
      </c>
    </row>
    <row r="431" spans="1:8" ht="12.75">
      <c r="A431" s="46" t="str">
        <f ca="1">IFERROR(__xludf.DUMMYFUNCTION("""COMPUTED_VALUE"""),"")</f>
        <v/>
      </c>
      <c r="B431" s="65"/>
      <c r="C431" s="48" t="str">
        <f ca="1">IFERROR(__xludf.DUMMYFUNCTION("""COMPUTED_VALUE"""),"")</f>
        <v/>
      </c>
      <c r="D431" s="48" t="str">
        <f ca="1">IFERROR(__xludf.DUMMYFUNCTION("""COMPUTED_VALUE"""),"")</f>
        <v/>
      </c>
      <c r="E431" s="49" t="str">
        <f ca="1">IFERROR(__xludf.DUMMYFUNCTION("""COMPUTED_VALUE"""),"")</f>
        <v/>
      </c>
      <c r="F431" s="48" t="str">
        <f ca="1">IFERROR(__xludf.DUMMYFUNCTION("""COMPUTED_VALUE"""),"")</f>
        <v/>
      </c>
      <c r="G431" s="50" t="str">
        <f ca="1">IFERROR(__xludf.DUMMYFUNCTION("""COMPUTED_VALUE"""),"")</f>
        <v/>
      </c>
      <c r="H431" s="50" t="str">
        <f ca="1">IFERROR(__xludf.DUMMYFUNCTION("""COMPUTED_VALUE"""),"")</f>
        <v/>
      </c>
    </row>
    <row r="432" spans="1:8" ht="12.75">
      <c r="A432" s="46" t="str">
        <f ca="1">IFERROR(__xludf.DUMMYFUNCTION("""COMPUTED_VALUE"""),"")</f>
        <v/>
      </c>
      <c r="B432" s="65"/>
      <c r="C432" s="48" t="str">
        <f ca="1">IFERROR(__xludf.DUMMYFUNCTION("""COMPUTED_VALUE"""),"")</f>
        <v/>
      </c>
      <c r="D432" s="48" t="str">
        <f ca="1">IFERROR(__xludf.DUMMYFUNCTION("""COMPUTED_VALUE"""),"")</f>
        <v/>
      </c>
      <c r="E432" s="49" t="str">
        <f ca="1">IFERROR(__xludf.DUMMYFUNCTION("""COMPUTED_VALUE"""),"")</f>
        <v/>
      </c>
      <c r="F432" s="48" t="str">
        <f ca="1">IFERROR(__xludf.DUMMYFUNCTION("""COMPUTED_VALUE"""),"")</f>
        <v/>
      </c>
      <c r="G432" s="50" t="str">
        <f ca="1">IFERROR(__xludf.DUMMYFUNCTION("""COMPUTED_VALUE"""),"")</f>
        <v/>
      </c>
      <c r="H432" s="50" t="str">
        <f ca="1">IFERROR(__xludf.DUMMYFUNCTION("""COMPUTED_VALUE"""),"")</f>
        <v/>
      </c>
    </row>
    <row r="433" spans="1:8" ht="12.75">
      <c r="A433" s="46" t="str">
        <f ca="1">IFERROR(__xludf.DUMMYFUNCTION("""COMPUTED_VALUE"""),"")</f>
        <v/>
      </c>
      <c r="B433" s="65"/>
      <c r="C433" s="48" t="str">
        <f ca="1">IFERROR(__xludf.DUMMYFUNCTION("""COMPUTED_VALUE"""),"")</f>
        <v/>
      </c>
      <c r="D433" s="48" t="str">
        <f ca="1">IFERROR(__xludf.DUMMYFUNCTION("""COMPUTED_VALUE"""),"")</f>
        <v/>
      </c>
      <c r="E433" s="49" t="str">
        <f ca="1">IFERROR(__xludf.DUMMYFUNCTION("""COMPUTED_VALUE"""),"")</f>
        <v/>
      </c>
      <c r="F433" s="48" t="str">
        <f ca="1">IFERROR(__xludf.DUMMYFUNCTION("""COMPUTED_VALUE"""),"")</f>
        <v/>
      </c>
      <c r="G433" s="50" t="str">
        <f ca="1">IFERROR(__xludf.DUMMYFUNCTION("""COMPUTED_VALUE"""),"")</f>
        <v/>
      </c>
      <c r="H433" s="50" t="str">
        <f ca="1">IFERROR(__xludf.DUMMYFUNCTION("""COMPUTED_VALUE"""),"")</f>
        <v/>
      </c>
    </row>
    <row r="434" spans="1:8" ht="12.75">
      <c r="A434" s="46" t="str">
        <f ca="1">IFERROR(__xludf.DUMMYFUNCTION("""COMPUTED_VALUE"""),"")</f>
        <v/>
      </c>
      <c r="B434" s="65"/>
      <c r="C434" s="48" t="str">
        <f ca="1">IFERROR(__xludf.DUMMYFUNCTION("""COMPUTED_VALUE"""),"")</f>
        <v/>
      </c>
      <c r="D434" s="48" t="str">
        <f ca="1">IFERROR(__xludf.DUMMYFUNCTION("""COMPUTED_VALUE"""),"")</f>
        <v/>
      </c>
      <c r="E434" s="49" t="str">
        <f ca="1">IFERROR(__xludf.DUMMYFUNCTION("""COMPUTED_VALUE"""),"")</f>
        <v/>
      </c>
      <c r="F434" s="48" t="str">
        <f ca="1">IFERROR(__xludf.DUMMYFUNCTION("""COMPUTED_VALUE"""),"")</f>
        <v/>
      </c>
      <c r="G434" s="50" t="str">
        <f ca="1">IFERROR(__xludf.DUMMYFUNCTION("""COMPUTED_VALUE"""),"")</f>
        <v/>
      </c>
      <c r="H434" s="50" t="str">
        <f ca="1">IFERROR(__xludf.DUMMYFUNCTION("""COMPUTED_VALUE"""),"")</f>
        <v/>
      </c>
    </row>
    <row r="435" spans="1:8" ht="12.75">
      <c r="A435" s="46" t="str">
        <f ca="1">IFERROR(__xludf.DUMMYFUNCTION("""COMPUTED_VALUE"""),"")</f>
        <v/>
      </c>
      <c r="B435" s="65"/>
      <c r="C435" s="48" t="str">
        <f ca="1">IFERROR(__xludf.DUMMYFUNCTION("""COMPUTED_VALUE"""),"")</f>
        <v/>
      </c>
      <c r="D435" s="48" t="str">
        <f ca="1">IFERROR(__xludf.DUMMYFUNCTION("""COMPUTED_VALUE"""),"")</f>
        <v/>
      </c>
      <c r="E435" s="49" t="str">
        <f ca="1">IFERROR(__xludf.DUMMYFUNCTION("""COMPUTED_VALUE"""),"")</f>
        <v/>
      </c>
      <c r="F435" s="48" t="str">
        <f ca="1">IFERROR(__xludf.DUMMYFUNCTION("""COMPUTED_VALUE"""),"")</f>
        <v/>
      </c>
      <c r="G435" s="50" t="str">
        <f ca="1">IFERROR(__xludf.DUMMYFUNCTION("""COMPUTED_VALUE"""),"")</f>
        <v/>
      </c>
      <c r="H435" s="50" t="str">
        <f ca="1">IFERROR(__xludf.DUMMYFUNCTION("""COMPUTED_VALUE"""),"")</f>
        <v/>
      </c>
    </row>
    <row r="436" spans="1:8" ht="12.75">
      <c r="A436" s="46" t="str">
        <f ca="1">IFERROR(__xludf.DUMMYFUNCTION("""COMPUTED_VALUE"""),"")</f>
        <v/>
      </c>
      <c r="B436" s="65"/>
      <c r="C436" s="48" t="str">
        <f ca="1">IFERROR(__xludf.DUMMYFUNCTION("""COMPUTED_VALUE"""),"")</f>
        <v/>
      </c>
      <c r="D436" s="48" t="str">
        <f ca="1">IFERROR(__xludf.DUMMYFUNCTION("""COMPUTED_VALUE"""),"")</f>
        <v/>
      </c>
      <c r="E436" s="49" t="str">
        <f ca="1">IFERROR(__xludf.DUMMYFUNCTION("""COMPUTED_VALUE"""),"")</f>
        <v/>
      </c>
      <c r="F436" s="48" t="str">
        <f ca="1">IFERROR(__xludf.DUMMYFUNCTION("""COMPUTED_VALUE"""),"")</f>
        <v/>
      </c>
      <c r="G436" s="50" t="str">
        <f ca="1">IFERROR(__xludf.DUMMYFUNCTION("""COMPUTED_VALUE"""),"")</f>
        <v/>
      </c>
      <c r="H436" s="50" t="str">
        <f ca="1">IFERROR(__xludf.DUMMYFUNCTION("""COMPUTED_VALUE"""),"")</f>
        <v/>
      </c>
    </row>
    <row r="437" spans="1:8" ht="12.75">
      <c r="A437" s="46" t="str">
        <f ca="1">IFERROR(__xludf.DUMMYFUNCTION("""COMPUTED_VALUE"""),"")</f>
        <v/>
      </c>
      <c r="B437" s="65"/>
      <c r="C437" s="48" t="str">
        <f ca="1">IFERROR(__xludf.DUMMYFUNCTION("""COMPUTED_VALUE"""),"")</f>
        <v/>
      </c>
      <c r="D437" s="48" t="str">
        <f ca="1">IFERROR(__xludf.DUMMYFUNCTION("""COMPUTED_VALUE"""),"")</f>
        <v/>
      </c>
      <c r="E437" s="49" t="str">
        <f ca="1">IFERROR(__xludf.DUMMYFUNCTION("""COMPUTED_VALUE"""),"")</f>
        <v/>
      </c>
      <c r="F437" s="48" t="str">
        <f ca="1">IFERROR(__xludf.DUMMYFUNCTION("""COMPUTED_VALUE"""),"")</f>
        <v/>
      </c>
      <c r="G437" s="50" t="str">
        <f ca="1">IFERROR(__xludf.DUMMYFUNCTION("""COMPUTED_VALUE"""),"")</f>
        <v/>
      </c>
      <c r="H437" s="50" t="str">
        <f ca="1">IFERROR(__xludf.DUMMYFUNCTION("""COMPUTED_VALUE"""),"")</f>
        <v/>
      </c>
    </row>
    <row r="438" spans="1:8" ht="12.75">
      <c r="A438" s="46" t="str">
        <f ca="1">IFERROR(__xludf.DUMMYFUNCTION("""COMPUTED_VALUE"""),"")</f>
        <v/>
      </c>
      <c r="B438" s="65"/>
      <c r="C438" s="48" t="str">
        <f ca="1">IFERROR(__xludf.DUMMYFUNCTION("""COMPUTED_VALUE"""),"")</f>
        <v/>
      </c>
      <c r="D438" s="48" t="str">
        <f ca="1">IFERROR(__xludf.DUMMYFUNCTION("""COMPUTED_VALUE"""),"")</f>
        <v/>
      </c>
      <c r="E438" s="49" t="str">
        <f ca="1">IFERROR(__xludf.DUMMYFUNCTION("""COMPUTED_VALUE"""),"")</f>
        <v/>
      </c>
      <c r="F438" s="48" t="str">
        <f ca="1">IFERROR(__xludf.DUMMYFUNCTION("""COMPUTED_VALUE"""),"")</f>
        <v/>
      </c>
      <c r="G438" s="50" t="str">
        <f ca="1">IFERROR(__xludf.DUMMYFUNCTION("""COMPUTED_VALUE"""),"")</f>
        <v/>
      </c>
      <c r="H438" s="50" t="str">
        <f ca="1">IFERROR(__xludf.DUMMYFUNCTION("""COMPUTED_VALUE"""),"")</f>
        <v/>
      </c>
    </row>
    <row r="439" spans="1:8" ht="12.75">
      <c r="A439" s="46" t="str">
        <f ca="1">IFERROR(__xludf.DUMMYFUNCTION("""COMPUTED_VALUE"""),"")</f>
        <v/>
      </c>
      <c r="B439" s="65"/>
      <c r="C439" s="48" t="str">
        <f ca="1">IFERROR(__xludf.DUMMYFUNCTION("""COMPUTED_VALUE"""),"")</f>
        <v/>
      </c>
      <c r="D439" s="48" t="str">
        <f ca="1">IFERROR(__xludf.DUMMYFUNCTION("""COMPUTED_VALUE"""),"")</f>
        <v/>
      </c>
      <c r="E439" s="49" t="str">
        <f ca="1">IFERROR(__xludf.DUMMYFUNCTION("""COMPUTED_VALUE"""),"")</f>
        <v/>
      </c>
      <c r="F439" s="48" t="str">
        <f ca="1">IFERROR(__xludf.DUMMYFUNCTION("""COMPUTED_VALUE"""),"")</f>
        <v/>
      </c>
      <c r="G439" s="50" t="str">
        <f ca="1">IFERROR(__xludf.DUMMYFUNCTION("""COMPUTED_VALUE"""),"")</f>
        <v/>
      </c>
      <c r="H439" s="50" t="str">
        <f ca="1">IFERROR(__xludf.DUMMYFUNCTION("""COMPUTED_VALUE"""),"")</f>
        <v/>
      </c>
    </row>
    <row r="440" spans="1:8" ht="12.75">
      <c r="A440" s="46" t="str">
        <f ca="1">IFERROR(__xludf.DUMMYFUNCTION("""COMPUTED_VALUE"""),"")</f>
        <v/>
      </c>
      <c r="B440" s="65"/>
      <c r="C440" s="48" t="str">
        <f ca="1">IFERROR(__xludf.DUMMYFUNCTION("""COMPUTED_VALUE"""),"")</f>
        <v/>
      </c>
      <c r="D440" s="48" t="str">
        <f ca="1">IFERROR(__xludf.DUMMYFUNCTION("""COMPUTED_VALUE"""),"")</f>
        <v/>
      </c>
      <c r="E440" s="49" t="str">
        <f ca="1">IFERROR(__xludf.DUMMYFUNCTION("""COMPUTED_VALUE"""),"")</f>
        <v/>
      </c>
      <c r="F440" s="48" t="str">
        <f ca="1">IFERROR(__xludf.DUMMYFUNCTION("""COMPUTED_VALUE"""),"")</f>
        <v/>
      </c>
      <c r="G440" s="50" t="str">
        <f ca="1">IFERROR(__xludf.DUMMYFUNCTION("""COMPUTED_VALUE"""),"")</f>
        <v/>
      </c>
      <c r="H440" s="50" t="str">
        <f ca="1">IFERROR(__xludf.DUMMYFUNCTION("""COMPUTED_VALUE"""),"")</f>
        <v/>
      </c>
    </row>
    <row r="441" spans="1:8" ht="12.75">
      <c r="A441" s="46" t="str">
        <f ca="1">IFERROR(__xludf.DUMMYFUNCTION("""COMPUTED_VALUE"""),"")</f>
        <v/>
      </c>
      <c r="B441" s="65"/>
      <c r="C441" s="48" t="str">
        <f ca="1">IFERROR(__xludf.DUMMYFUNCTION("""COMPUTED_VALUE"""),"")</f>
        <v/>
      </c>
      <c r="D441" s="48" t="str">
        <f ca="1">IFERROR(__xludf.DUMMYFUNCTION("""COMPUTED_VALUE"""),"")</f>
        <v/>
      </c>
      <c r="E441" s="49" t="str">
        <f ca="1">IFERROR(__xludf.DUMMYFUNCTION("""COMPUTED_VALUE"""),"")</f>
        <v/>
      </c>
      <c r="F441" s="48" t="str">
        <f ca="1">IFERROR(__xludf.DUMMYFUNCTION("""COMPUTED_VALUE"""),"")</f>
        <v/>
      </c>
      <c r="G441" s="50" t="str">
        <f ca="1">IFERROR(__xludf.DUMMYFUNCTION("""COMPUTED_VALUE"""),"")</f>
        <v/>
      </c>
      <c r="H441" s="50" t="str">
        <f ca="1">IFERROR(__xludf.DUMMYFUNCTION("""COMPUTED_VALUE"""),"")</f>
        <v/>
      </c>
    </row>
    <row r="442" spans="1:8" ht="12.75">
      <c r="A442" s="46" t="str">
        <f ca="1">IFERROR(__xludf.DUMMYFUNCTION("""COMPUTED_VALUE"""),"")</f>
        <v/>
      </c>
      <c r="B442" s="65"/>
      <c r="C442" s="48" t="str">
        <f ca="1">IFERROR(__xludf.DUMMYFUNCTION("""COMPUTED_VALUE"""),"")</f>
        <v/>
      </c>
      <c r="D442" s="48" t="str">
        <f ca="1">IFERROR(__xludf.DUMMYFUNCTION("""COMPUTED_VALUE"""),"")</f>
        <v/>
      </c>
      <c r="E442" s="49" t="str">
        <f ca="1">IFERROR(__xludf.DUMMYFUNCTION("""COMPUTED_VALUE"""),"")</f>
        <v/>
      </c>
      <c r="F442" s="48" t="str">
        <f ca="1">IFERROR(__xludf.DUMMYFUNCTION("""COMPUTED_VALUE"""),"")</f>
        <v/>
      </c>
      <c r="G442" s="50" t="str">
        <f ca="1">IFERROR(__xludf.DUMMYFUNCTION("""COMPUTED_VALUE"""),"")</f>
        <v/>
      </c>
      <c r="H442" s="50" t="str">
        <f ca="1">IFERROR(__xludf.DUMMYFUNCTION("""COMPUTED_VALUE"""),"")</f>
        <v/>
      </c>
    </row>
    <row r="443" spans="1:8" ht="12.75">
      <c r="A443" s="46" t="str">
        <f ca="1">IFERROR(__xludf.DUMMYFUNCTION("""COMPUTED_VALUE"""),"")</f>
        <v/>
      </c>
      <c r="B443" s="65"/>
      <c r="C443" s="48" t="str">
        <f ca="1">IFERROR(__xludf.DUMMYFUNCTION("""COMPUTED_VALUE"""),"")</f>
        <v/>
      </c>
      <c r="D443" s="48" t="str">
        <f ca="1">IFERROR(__xludf.DUMMYFUNCTION("""COMPUTED_VALUE"""),"")</f>
        <v/>
      </c>
      <c r="E443" s="49" t="str">
        <f ca="1">IFERROR(__xludf.DUMMYFUNCTION("""COMPUTED_VALUE"""),"")</f>
        <v/>
      </c>
      <c r="F443" s="48" t="str">
        <f ca="1">IFERROR(__xludf.DUMMYFUNCTION("""COMPUTED_VALUE"""),"")</f>
        <v/>
      </c>
      <c r="G443" s="50" t="str">
        <f ca="1">IFERROR(__xludf.DUMMYFUNCTION("""COMPUTED_VALUE"""),"")</f>
        <v/>
      </c>
      <c r="H443" s="50" t="str">
        <f ca="1">IFERROR(__xludf.DUMMYFUNCTION("""COMPUTED_VALUE"""),"")</f>
        <v/>
      </c>
    </row>
    <row r="444" spans="1:8" ht="12.75">
      <c r="A444" s="46" t="str">
        <f ca="1">IFERROR(__xludf.DUMMYFUNCTION("""COMPUTED_VALUE"""),"")</f>
        <v/>
      </c>
      <c r="B444" s="65"/>
      <c r="C444" s="48" t="str">
        <f ca="1">IFERROR(__xludf.DUMMYFUNCTION("""COMPUTED_VALUE"""),"")</f>
        <v/>
      </c>
      <c r="D444" s="48" t="str">
        <f ca="1">IFERROR(__xludf.DUMMYFUNCTION("""COMPUTED_VALUE"""),"")</f>
        <v/>
      </c>
      <c r="E444" s="49" t="str">
        <f ca="1">IFERROR(__xludf.DUMMYFUNCTION("""COMPUTED_VALUE"""),"")</f>
        <v/>
      </c>
      <c r="F444" s="48" t="str">
        <f ca="1">IFERROR(__xludf.DUMMYFUNCTION("""COMPUTED_VALUE"""),"")</f>
        <v/>
      </c>
      <c r="G444" s="50" t="str">
        <f ca="1">IFERROR(__xludf.DUMMYFUNCTION("""COMPUTED_VALUE"""),"")</f>
        <v/>
      </c>
      <c r="H444" s="50" t="str">
        <f ca="1">IFERROR(__xludf.DUMMYFUNCTION("""COMPUTED_VALUE"""),"")</f>
        <v/>
      </c>
    </row>
    <row r="445" spans="1:8" ht="12.75">
      <c r="A445" s="46" t="str">
        <f ca="1">IFERROR(__xludf.DUMMYFUNCTION("""COMPUTED_VALUE"""),"")</f>
        <v/>
      </c>
      <c r="B445" s="65"/>
      <c r="C445" s="48" t="str">
        <f ca="1">IFERROR(__xludf.DUMMYFUNCTION("""COMPUTED_VALUE"""),"")</f>
        <v/>
      </c>
      <c r="D445" s="48" t="str">
        <f ca="1">IFERROR(__xludf.DUMMYFUNCTION("""COMPUTED_VALUE"""),"")</f>
        <v/>
      </c>
      <c r="E445" s="49" t="str">
        <f ca="1">IFERROR(__xludf.DUMMYFUNCTION("""COMPUTED_VALUE"""),"")</f>
        <v/>
      </c>
      <c r="F445" s="48" t="str">
        <f ca="1">IFERROR(__xludf.DUMMYFUNCTION("""COMPUTED_VALUE"""),"")</f>
        <v/>
      </c>
      <c r="G445" s="50" t="str">
        <f ca="1">IFERROR(__xludf.DUMMYFUNCTION("""COMPUTED_VALUE"""),"")</f>
        <v/>
      </c>
      <c r="H445" s="50" t="str">
        <f ca="1">IFERROR(__xludf.DUMMYFUNCTION("""COMPUTED_VALUE"""),"")</f>
        <v/>
      </c>
    </row>
    <row r="446" spans="1:8" ht="12.75">
      <c r="A446" s="46" t="str">
        <f ca="1">IFERROR(__xludf.DUMMYFUNCTION("""COMPUTED_VALUE"""),"")</f>
        <v/>
      </c>
      <c r="B446" s="65"/>
      <c r="C446" s="48" t="str">
        <f ca="1">IFERROR(__xludf.DUMMYFUNCTION("""COMPUTED_VALUE"""),"")</f>
        <v/>
      </c>
      <c r="D446" s="48" t="str">
        <f ca="1">IFERROR(__xludf.DUMMYFUNCTION("""COMPUTED_VALUE"""),"")</f>
        <v/>
      </c>
      <c r="E446" s="49" t="str">
        <f ca="1">IFERROR(__xludf.DUMMYFUNCTION("""COMPUTED_VALUE"""),"")</f>
        <v/>
      </c>
      <c r="F446" s="48" t="str">
        <f ca="1">IFERROR(__xludf.DUMMYFUNCTION("""COMPUTED_VALUE"""),"")</f>
        <v/>
      </c>
      <c r="G446" s="50" t="str">
        <f ca="1">IFERROR(__xludf.DUMMYFUNCTION("""COMPUTED_VALUE"""),"")</f>
        <v/>
      </c>
      <c r="H446" s="50" t="str">
        <f ca="1">IFERROR(__xludf.DUMMYFUNCTION("""COMPUTED_VALUE"""),"")</f>
        <v/>
      </c>
    </row>
    <row r="447" spans="1:8" ht="12.75">
      <c r="A447" s="46" t="str">
        <f ca="1">IFERROR(__xludf.DUMMYFUNCTION("""COMPUTED_VALUE"""),"")</f>
        <v/>
      </c>
      <c r="B447" s="65"/>
      <c r="C447" s="48" t="str">
        <f ca="1">IFERROR(__xludf.DUMMYFUNCTION("""COMPUTED_VALUE"""),"")</f>
        <v/>
      </c>
      <c r="D447" s="48" t="str">
        <f ca="1">IFERROR(__xludf.DUMMYFUNCTION("""COMPUTED_VALUE"""),"")</f>
        <v/>
      </c>
      <c r="E447" s="49" t="str">
        <f ca="1">IFERROR(__xludf.DUMMYFUNCTION("""COMPUTED_VALUE"""),"")</f>
        <v/>
      </c>
      <c r="F447" s="48" t="str">
        <f ca="1">IFERROR(__xludf.DUMMYFUNCTION("""COMPUTED_VALUE"""),"")</f>
        <v/>
      </c>
      <c r="G447" s="50" t="str">
        <f ca="1">IFERROR(__xludf.DUMMYFUNCTION("""COMPUTED_VALUE"""),"")</f>
        <v/>
      </c>
      <c r="H447" s="50" t="str">
        <f ca="1">IFERROR(__xludf.DUMMYFUNCTION("""COMPUTED_VALUE"""),"")</f>
        <v/>
      </c>
    </row>
    <row r="448" spans="1:8" ht="12.75">
      <c r="A448" s="46" t="str">
        <f ca="1">IFERROR(__xludf.DUMMYFUNCTION("""COMPUTED_VALUE"""),"")</f>
        <v/>
      </c>
      <c r="B448" s="65"/>
      <c r="C448" s="48" t="str">
        <f ca="1">IFERROR(__xludf.DUMMYFUNCTION("""COMPUTED_VALUE"""),"")</f>
        <v/>
      </c>
      <c r="D448" s="48" t="str">
        <f ca="1">IFERROR(__xludf.DUMMYFUNCTION("""COMPUTED_VALUE"""),"")</f>
        <v/>
      </c>
      <c r="E448" s="49" t="str">
        <f ca="1">IFERROR(__xludf.DUMMYFUNCTION("""COMPUTED_VALUE"""),"")</f>
        <v/>
      </c>
      <c r="F448" s="48" t="str">
        <f ca="1">IFERROR(__xludf.DUMMYFUNCTION("""COMPUTED_VALUE"""),"")</f>
        <v/>
      </c>
      <c r="G448" s="50" t="str">
        <f ca="1">IFERROR(__xludf.DUMMYFUNCTION("""COMPUTED_VALUE"""),"")</f>
        <v/>
      </c>
      <c r="H448" s="50" t="str">
        <f ca="1">IFERROR(__xludf.DUMMYFUNCTION("""COMPUTED_VALUE"""),"")</f>
        <v/>
      </c>
    </row>
    <row r="449" spans="1:8" ht="12.75">
      <c r="A449" s="46" t="str">
        <f ca="1">IFERROR(__xludf.DUMMYFUNCTION("""COMPUTED_VALUE"""),"")</f>
        <v/>
      </c>
      <c r="B449" s="65"/>
      <c r="C449" s="48" t="str">
        <f ca="1">IFERROR(__xludf.DUMMYFUNCTION("""COMPUTED_VALUE"""),"")</f>
        <v/>
      </c>
      <c r="D449" s="48" t="str">
        <f ca="1">IFERROR(__xludf.DUMMYFUNCTION("""COMPUTED_VALUE"""),"")</f>
        <v/>
      </c>
      <c r="E449" s="49" t="str">
        <f ca="1">IFERROR(__xludf.DUMMYFUNCTION("""COMPUTED_VALUE"""),"")</f>
        <v/>
      </c>
      <c r="F449" s="48" t="str">
        <f ca="1">IFERROR(__xludf.DUMMYFUNCTION("""COMPUTED_VALUE"""),"")</f>
        <v/>
      </c>
      <c r="G449" s="50" t="str">
        <f ca="1">IFERROR(__xludf.DUMMYFUNCTION("""COMPUTED_VALUE"""),"")</f>
        <v/>
      </c>
      <c r="H449" s="50" t="str">
        <f ca="1">IFERROR(__xludf.DUMMYFUNCTION("""COMPUTED_VALUE"""),"")</f>
        <v/>
      </c>
    </row>
    <row r="450" spans="1:8" ht="12.75">
      <c r="A450" s="46" t="str">
        <f ca="1">IFERROR(__xludf.DUMMYFUNCTION("""COMPUTED_VALUE"""),"")</f>
        <v/>
      </c>
      <c r="B450" s="65"/>
      <c r="C450" s="48" t="str">
        <f ca="1">IFERROR(__xludf.DUMMYFUNCTION("""COMPUTED_VALUE"""),"")</f>
        <v/>
      </c>
      <c r="D450" s="48" t="str">
        <f ca="1">IFERROR(__xludf.DUMMYFUNCTION("""COMPUTED_VALUE"""),"")</f>
        <v/>
      </c>
      <c r="E450" s="49" t="str">
        <f ca="1">IFERROR(__xludf.DUMMYFUNCTION("""COMPUTED_VALUE"""),"")</f>
        <v/>
      </c>
      <c r="F450" s="48" t="str">
        <f ca="1">IFERROR(__xludf.DUMMYFUNCTION("""COMPUTED_VALUE"""),"")</f>
        <v/>
      </c>
      <c r="G450" s="50" t="str">
        <f ca="1">IFERROR(__xludf.DUMMYFUNCTION("""COMPUTED_VALUE"""),"")</f>
        <v/>
      </c>
      <c r="H450" s="50" t="str">
        <f ca="1">IFERROR(__xludf.DUMMYFUNCTION("""COMPUTED_VALUE"""),"")</f>
        <v/>
      </c>
    </row>
    <row r="451" spans="1:8" ht="12.75">
      <c r="A451" s="46" t="str">
        <f ca="1">IFERROR(__xludf.DUMMYFUNCTION("""COMPUTED_VALUE"""),"")</f>
        <v/>
      </c>
      <c r="B451" s="65"/>
      <c r="C451" s="48" t="str">
        <f ca="1">IFERROR(__xludf.DUMMYFUNCTION("""COMPUTED_VALUE"""),"")</f>
        <v/>
      </c>
      <c r="D451" s="48" t="str">
        <f ca="1">IFERROR(__xludf.DUMMYFUNCTION("""COMPUTED_VALUE"""),"")</f>
        <v/>
      </c>
      <c r="E451" s="49" t="str">
        <f ca="1">IFERROR(__xludf.DUMMYFUNCTION("""COMPUTED_VALUE"""),"")</f>
        <v/>
      </c>
      <c r="F451" s="48" t="str">
        <f ca="1">IFERROR(__xludf.DUMMYFUNCTION("""COMPUTED_VALUE"""),"")</f>
        <v/>
      </c>
      <c r="G451" s="50" t="str">
        <f ca="1">IFERROR(__xludf.DUMMYFUNCTION("""COMPUTED_VALUE"""),"")</f>
        <v/>
      </c>
      <c r="H451" s="50" t="str">
        <f ca="1">IFERROR(__xludf.DUMMYFUNCTION("""COMPUTED_VALUE"""),"")</f>
        <v/>
      </c>
    </row>
    <row r="452" spans="1:8" ht="12.75">
      <c r="A452" s="46" t="str">
        <f ca="1">IFERROR(__xludf.DUMMYFUNCTION("""COMPUTED_VALUE"""),"")</f>
        <v/>
      </c>
      <c r="B452" s="65"/>
      <c r="C452" s="48" t="str">
        <f ca="1">IFERROR(__xludf.DUMMYFUNCTION("""COMPUTED_VALUE"""),"")</f>
        <v/>
      </c>
      <c r="D452" s="48" t="str">
        <f ca="1">IFERROR(__xludf.DUMMYFUNCTION("""COMPUTED_VALUE"""),"")</f>
        <v/>
      </c>
      <c r="E452" s="49" t="str">
        <f ca="1">IFERROR(__xludf.DUMMYFUNCTION("""COMPUTED_VALUE"""),"")</f>
        <v/>
      </c>
      <c r="F452" s="48" t="str">
        <f ca="1">IFERROR(__xludf.DUMMYFUNCTION("""COMPUTED_VALUE"""),"")</f>
        <v/>
      </c>
      <c r="G452" s="50" t="str">
        <f ca="1">IFERROR(__xludf.DUMMYFUNCTION("""COMPUTED_VALUE"""),"")</f>
        <v/>
      </c>
      <c r="H452" s="50" t="str">
        <f ca="1">IFERROR(__xludf.DUMMYFUNCTION("""COMPUTED_VALUE"""),"")</f>
        <v/>
      </c>
    </row>
    <row r="453" spans="1:8" ht="12.75">
      <c r="A453" s="46" t="str">
        <f ca="1">IFERROR(__xludf.DUMMYFUNCTION("""COMPUTED_VALUE"""),"")</f>
        <v/>
      </c>
      <c r="B453" s="65"/>
      <c r="C453" s="48" t="str">
        <f ca="1">IFERROR(__xludf.DUMMYFUNCTION("""COMPUTED_VALUE"""),"")</f>
        <v/>
      </c>
      <c r="D453" s="48" t="str">
        <f ca="1">IFERROR(__xludf.DUMMYFUNCTION("""COMPUTED_VALUE"""),"")</f>
        <v/>
      </c>
      <c r="E453" s="49" t="str">
        <f ca="1">IFERROR(__xludf.DUMMYFUNCTION("""COMPUTED_VALUE"""),"")</f>
        <v/>
      </c>
      <c r="F453" s="48" t="str">
        <f ca="1">IFERROR(__xludf.DUMMYFUNCTION("""COMPUTED_VALUE"""),"")</f>
        <v/>
      </c>
      <c r="G453" s="50" t="str">
        <f ca="1">IFERROR(__xludf.DUMMYFUNCTION("""COMPUTED_VALUE"""),"")</f>
        <v/>
      </c>
      <c r="H453" s="50" t="str">
        <f ca="1">IFERROR(__xludf.DUMMYFUNCTION("""COMPUTED_VALUE"""),"")</f>
        <v/>
      </c>
    </row>
    <row r="454" spans="1:8" ht="12.75">
      <c r="A454" s="46" t="str">
        <f ca="1">IFERROR(__xludf.DUMMYFUNCTION("""COMPUTED_VALUE"""),"")</f>
        <v/>
      </c>
      <c r="B454" s="65"/>
      <c r="C454" s="48" t="str">
        <f ca="1">IFERROR(__xludf.DUMMYFUNCTION("""COMPUTED_VALUE"""),"")</f>
        <v/>
      </c>
      <c r="D454" s="48" t="str">
        <f ca="1">IFERROR(__xludf.DUMMYFUNCTION("""COMPUTED_VALUE"""),"")</f>
        <v/>
      </c>
      <c r="E454" s="49" t="str">
        <f ca="1">IFERROR(__xludf.DUMMYFUNCTION("""COMPUTED_VALUE"""),"")</f>
        <v/>
      </c>
      <c r="F454" s="48" t="str">
        <f ca="1">IFERROR(__xludf.DUMMYFUNCTION("""COMPUTED_VALUE"""),"")</f>
        <v/>
      </c>
      <c r="G454" s="50" t="str">
        <f ca="1">IFERROR(__xludf.DUMMYFUNCTION("""COMPUTED_VALUE"""),"")</f>
        <v/>
      </c>
      <c r="H454" s="50" t="str">
        <f ca="1">IFERROR(__xludf.DUMMYFUNCTION("""COMPUTED_VALUE"""),"")</f>
        <v/>
      </c>
    </row>
    <row r="455" spans="1:8" ht="12.75">
      <c r="A455" s="46" t="str">
        <f ca="1">IFERROR(__xludf.DUMMYFUNCTION("""COMPUTED_VALUE"""),"")</f>
        <v/>
      </c>
      <c r="B455" s="65"/>
      <c r="C455" s="48" t="str">
        <f ca="1">IFERROR(__xludf.DUMMYFUNCTION("""COMPUTED_VALUE"""),"")</f>
        <v/>
      </c>
      <c r="D455" s="48" t="str">
        <f ca="1">IFERROR(__xludf.DUMMYFUNCTION("""COMPUTED_VALUE"""),"")</f>
        <v/>
      </c>
      <c r="E455" s="49" t="str">
        <f ca="1">IFERROR(__xludf.DUMMYFUNCTION("""COMPUTED_VALUE"""),"")</f>
        <v/>
      </c>
      <c r="F455" s="48" t="str">
        <f ca="1">IFERROR(__xludf.DUMMYFUNCTION("""COMPUTED_VALUE"""),"")</f>
        <v/>
      </c>
      <c r="G455" s="50" t="str">
        <f ca="1">IFERROR(__xludf.DUMMYFUNCTION("""COMPUTED_VALUE"""),"")</f>
        <v/>
      </c>
      <c r="H455" s="50" t="str">
        <f ca="1">IFERROR(__xludf.DUMMYFUNCTION("""COMPUTED_VALUE"""),"")</f>
        <v/>
      </c>
    </row>
    <row r="456" spans="1:8" ht="12.75">
      <c r="A456" s="46" t="str">
        <f ca="1">IFERROR(__xludf.DUMMYFUNCTION("""COMPUTED_VALUE"""),"")</f>
        <v/>
      </c>
      <c r="B456" s="65"/>
      <c r="C456" s="48" t="str">
        <f ca="1">IFERROR(__xludf.DUMMYFUNCTION("""COMPUTED_VALUE"""),"")</f>
        <v/>
      </c>
      <c r="D456" s="48" t="str">
        <f ca="1">IFERROR(__xludf.DUMMYFUNCTION("""COMPUTED_VALUE"""),"")</f>
        <v/>
      </c>
      <c r="E456" s="49" t="str">
        <f ca="1">IFERROR(__xludf.DUMMYFUNCTION("""COMPUTED_VALUE"""),"")</f>
        <v/>
      </c>
      <c r="F456" s="48" t="str">
        <f ca="1">IFERROR(__xludf.DUMMYFUNCTION("""COMPUTED_VALUE"""),"")</f>
        <v/>
      </c>
      <c r="G456" s="50" t="str">
        <f ca="1">IFERROR(__xludf.DUMMYFUNCTION("""COMPUTED_VALUE"""),"")</f>
        <v/>
      </c>
      <c r="H456" s="50" t="str">
        <f ca="1">IFERROR(__xludf.DUMMYFUNCTION("""COMPUTED_VALUE"""),"")</f>
        <v/>
      </c>
    </row>
    <row r="457" spans="1:8" ht="12.75">
      <c r="A457" s="46" t="str">
        <f ca="1">IFERROR(__xludf.DUMMYFUNCTION("""COMPUTED_VALUE"""),"")</f>
        <v/>
      </c>
      <c r="B457" s="65"/>
      <c r="C457" s="48" t="str">
        <f ca="1">IFERROR(__xludf.DUMMYFUNCTION("""COMPUTED_VALUE"""),"")</f>
        <v/>
      </c>
      <c r="D457" s="48" t="str">
        <f ca="1">IFERROR(__xludf.DUMMYFUNCTION("""COMPUTED_VALUE"""),"")</f>
        <v/>
      </c>
      <c r="E457" s="49" t="str">
        <f ca="1">IFERROR(__xludf.DUMMYFUNCTION("""COMPUTED_VALUE"""),"")</f>
        <v/>
      </c>
      <c r="F457" s="48" t="str">
        <f ca="1">IFERROR(__xludf.DUMMYFUNCTION("""COMPUTED_VALUE"""),"")</f>
        <v/>
      </c>
      <c r="G457" s="50" t="str">
        <f ca="1">IFERROR(__xludf.DUMMYFUNCTION("""COMPUTED_VALUE"""),"")</f>
        <v/>
      </c>
      <c r="H457" s="50" t="str">
        <f ca="1">IFERROR(__xludf.DUMMYFUNCTION("""COMPUTED_VALUE"""),"")</f>
        <v/>
      </c>
    </row>
    <row r="458" spans="1:8" ht="12.75">
      <c r="A458" s="46" t="str">
        <f ca="1">IFERROR(__xludf.DUMMYFUNCTION("""COMPUTED_VALUE"""),"")</f>
        <v/>
      </c>
      <c r="B458" s="65"/>
      <c r="C458" s="48" t="str">
        <f ca="1">IFERROR(__xludf.DUMMYFUNCTION("""COMPUTED_VALUE"""),"")</f>
        <v/>
      </c>
      <c r="D458" s="48" t="str">
        <f ca="1">IFERROR(__xludf.DUMMYFUNCTION("""COMPUTED_VALUE"""),"")</f>
        <v/>
      </c>
      <c r="E458" s="49" t="str">
        <f ca="1">IFERROR(__xludf.DUMMYFUNCTION("""COMPUTED_VALUE"""),"")</f>
        <v/>
      </c>
      <c r="F458" s="48" t="str">
        <f ca="1">IFERROR(__xludf.DUMMYFUNCTION("""COMPUTED_VALUE"""),"")</f>
        <v/>
      </c>
      <c r="G458" s="50" t="str">
        <f ca="1">IFERROR(__xludf.DUMMYFUNCTION("""COMPUTED_VALUE"""),"")</f>
        <v/>
      </c>
      <c r="H458" s="50" t="str">
        <f ca="1">IFERROR(__xludf.DUMMYFUNCTION("""COMPUTED_VALUE"""),"")</f>
        <v/>
      </c>
    </row>
    <row r="459" spans="1:8" ht="12.75">
      <c r="A459" s="46" t="str">
        <f ca="1">IFERROR(__xludf.DUMMYFUNCTION("""COMPUTED_VALUE"""),"")</f>
        <v/>
      </c>
      <c r="B459" s="65"/>
      <c r="C459" s="48" t="str">
        <f ca="1">IFERROR(__xludf.DUMMYFUNCTION("""COMPUTED_VALUE"""),"")</f>
        <v/>
      </c>
      <c r="D459" s="48" t="str">
        <f ca="1">IFERROR(__xludf.DUMMYFUNCTION("""COMPUTED_VALUE"""),"")</f>
        <v/>
      </c>
      <c r="E459" s="49" t="str">
        <f ca="1">IFERROR(__xludf.DUMMYFUNCTION("""COMPUTED_VALUE"""),"")</f>
        <v/>
      </c>
      <c r="F459" s="48" t="str">
        <f ca="1">IFERROR(__xludf.DUMMYFUNCTION("""COMPUTED_VALUE"""),"")</f>
        <v/>
      </c>
      <c r="G459" s="50" t="str">
        <f ca="1">IFERROR(__xludf.DUMMYFUNCTION("""COMPUTED_VALUE"""),"")</f>
        <v/>
      </c>
      <c r="H459" s="50" t="str">
        <f ca="1">IFERROR(__xludf.DUMMYFUNCTION("""COMPUTED_VALUE"""),"")</f>
        <v/>
      </c>
    </row>
    <row r="460" spans="1:8" ht="12.75">
      <c r="A460" s="46" t="str">
        <f ca="1">IFERROR(__xludf.DUMMYFUNCTION("""COMPUTED_VALUE"""),"")</f>
        <v/>
      </c>
      <c r="B460" s="65"/>
      <c r="C460" s="48" t="str">
        <f ca="1">IFERROR(__xludf.DUMMYFUNCTION("""COMPUTED_VALUE"""),"")</f>
        <v/>
      </c>
      <c r="D460" s="48" t="str">
        <f ca="1">IFERROR(__xludf.DUMMYFUNCTION("""COMPUTED_VALUE"""),"")</f>
        <v/>
      </c>
      <c r="E460" s="49" t="str">
        <f ca="1">IFERROR(__xludf.DUMMYFUNCTION("""COMPUTED_VALUE"""),"")</f>
        <v/>
      </c>
      <c r="F460" s="48" t="str">
        <f ca="1">IFERROR(__xludf.DUMMYFUNCTION("""COMPUTED_VALUE"""),"")</f>
        <v/>
      </c>
      <c r="G460" s="50" t="str">
        <f ca="1">IFERROR(__xludf.DUMMYFUNCTION("""COMPUTED_VALUE"""),"")</f>
        <v/>
      </c>
      <c r="H460" s="50" t="str">
        <f ca="1">IFERROR(__xludf.DUMMYFUNCTION("""COMPUTED_VALUE"""),"")</f>
        <v/>
      </c>
    </row>
    <row r="461" spans="1:8" ht="12.75">
      <c r="A461" s="46" t="str">
        <f ca="1">IFERROR(__xludf.DUMMYFUNCTION("""COMPUTED_VALUE"""),"")</f>
        <v/>
      </c>
      <c r="B461" s="65"/>
      <c r="C461" s="48" t="str">
        <f ca="1">IFERROR(__xludf.DUMMYFUNCTION("""COMPUTED_VALUE"""),"")</f>
        <v/>
      </c>
      <c r="D461" s="48" t="str">
        <f ca="1">IFERROR(__xludf.DUMMYFUNCTION("""COMPUTED_VALUE"""),"")</f>
        <v/>
      </c>
      <c r="E461" s="49" t="str">
        <f ca="1">IFERROR(__xludf.DUMMYFUNCTION("""COMPUTED_VALUE"""),"")</f>
        <v/>
      </c>
      <c r="F461" s="48" t="str">
        <f ca="1">IFERROR(__xludf.DUMMYFUNCTION("""COMPUTED_VALUE"""),"")</f>
        <v/>
      </c>
      <c r="G461" s="50" t="str">
        <f ca="1">IFERROR(__xludf.DUMMYFUNCTION("""COMPUTED_VALUE"""),"")</f>
        <v/>
      </c>
      <c r="H461" s="50" t="str">
        <f ca="1">IFERROR(__xludf.DUMMYFUNCTION("""COMPUTED_VALUE"""),"")</f>
        <v/>
      </c>
    </row>
    <row r="462" spans="1:8" ht="12.75">
      <c r="A462" s="46" t="str">
        <f ca="1">IFERROR(__xludf.DUMMYFUNCTION("""COMPUTED_VALUE"""),"")</f>
        <v/>
      </c>
      <c r="B462" s="65"/>
      <c r="C462" s="48" t="str">
        <f ca="1">IFERROR(__xludf.DUMMYFUNCTION("""COMPUTED_VALUE"""),"")</f>
        <v/>
      </c>
      <c r="D462" s="48" t="str">
        <f ca="1">IFERROR(__xludf.DUMMYFUNCTION("""COMPUTED_VALUE"""),"")</f>
        <v/>
      </c>
      <c r="E462" s="49" t="str">
        <f ca="1">IFERROR(__xludf.DUMMYFUNCTION("""COMPUTED_VALUE"""),"")</f>
        <v/>
      </c>
      <c r="F462" s="48" t="str">
        <f ca="1">IFERROR(__xludf.DUMMYFUNCTION("""COMPUTED_VALUE"""),"")</f>
        <v/>
      </c>
      <c r="G462" s="50" t="str">
        <f ca="1">IFERROR(__xludf.DUMMYFUNCTION("""COMPUTED_VALUE"""),"")</f>
        <v/>
      </c>
      <c r="H462" s="50" t="str">
        <f ca="1">IFERROR(__xludf.DUMMYFUNCTION("""COMPUTED_VALUE"""),"")</f>
        <v/>
      </c>
    </row>
    <row r="463" spans="1:8" ht="12.75">
      <c r="A463" s="46" t="str">
        <f ca="1">IFERROR(__xludf.DUMMYFUNCTION("""COMPUTED_VALUE"""),"")</f>
        <v/>
      </c>
      <c r="B463" s="65"/>
      <c r="C463" s="48" t="str">
        <f ca="1">IFERROR(__xludf.DUMMYFUNCTION("""COMPUTED_VALUE"""),"")</f>
        <v/>
      </c>
      <c r="D463" s="48" t="str">
        <f ca="1">IFERROR(__xludf.DUMMYFUNCTION("""COMPUTED_VALUE"""),"")</f>
        <v/>
      </c>
      <c r="E463" s="49" t="str">
        <f ca="1">IFERROR(__xludf.DUMMYFUNCTION("""COMPUTED_VALUE"""),"")</f>
        <v/>
      </c>
      <c r="F463" s="48" t="str">
        <f ca="1">IFERROR(__xludf.DUMMYFUNCTION("""COMPUTED_VALUE"""),"")</f>
        <v/>
      </c>
      <c r="G463" s="50" t="str">
        <f ca="1">IFERROR(__xludf.DUMMYFUNCTION("""COMPUTED_VALUE"""),"")</f>
        <v/>
      </c>
      <c r="H463" s="50" t="str">
        <f ca="1">IFERROR(__xludf.DUMMYFUNCTION("""COMPUTED_VALUE"""),"")</f>
        <v/>
      </c>
    </row>
    <row r="464" spans="1:8" ht="12.75">
      <c r="A464" s="46" t="str">
        <f ca="1">IFERROR(__xludf.DUMMYFUNCTION("""COMPUTED_VALUE"""),"")</f>
        <v/>
      </c>
      <c r="B464" s="65"/>
      <c r="C464" s="48" t="str">
        <f ca="1">IFERROR(__xludf.DUMMYFUNCTION("""COMPUTED_VALUE"""),"")</f>
        <v/>
      </c>
      <c r="D464" s="48" t="str">
        <f ca="1">IFERROR(__xludf.DUMMYFUNCTION("""COMPUTED_VALUE"""),"")</f>
        <v/>
      </c>
      <c r="E464" s="49" t="str">
        <f ca="1">IFERROR(__xludf.DUMMYFUNCTION("""COMPUTED_VALUE"""),"")</f>
        <v/>
      </c>
      <c r="F464" s="48" t="str">
        <f ca="1">IFERROR(__xludf.DUMMYFUNCTION("""COMPUTED_VALUE"""),"")</f>
        <v/>
      </c>
      <c r="G464" s="50" t="str">
        <f ca="1">IFERROR(__xludf.DUMMYFUNCTION("""COMPUTED_VALUE"""),"")</f>
        <v/>
      </c>
      <c r="H464" s="50" t="str">
        <f ca="1">IFERROR(__xludf.DUMMYFUNCTION("""COMPUTED_VALUE"""),"")</f>
        <v/>
      </c>
    </row>
    <row r="465" spans="1:8" ht="12.75">
      <c r="A465" s="46" t="str">
        <f ca="1">IFERROR(__xludf.DUMMYFUNCTION("""COMPUTED_VALUE"""),"")</f>
        <v/>
      </c>
      <c r="B465" s="65"/>
      <c r="C465" s="48" t="str">
        <f ca="1">IFERROR(__xludf.DUMMYFUNCTION("""COMPUTED_VALUE"""),"")</f>
        <v/>
      </c>
      <c r="D465" s="48" t="str">
        <f ca="1">IFERROR(__xludf.DUMMYFUNCTION("""COMPUTED_VALUE"""),"")</f>
        <v/>
      </c>
      <c r="E465" s="49" t="str">
        <f ca="1">IFERROR(__xludf.DUMMYFUNCTION("""COMPUTED_VALUE"""),"")</f>
        <v/>
      </c>
      <c r="F465" s="48" t="str">
        <f ca="1">IFERROR(__xludf.DUMMYFUNCTION("""COMPUTED_VALUE"""),"")</f>
        <v/>
      </c>
      <c r="G465" s="50" t="str">
        <f ca="1">IFERROR(__xludf.DUMMYFUNCTION("""COMPUTED_VALUE"""),"")</f>
        <v/>
      </c>
      <c r="H465" s="50" t="str">
        <f ca="1">IFERROR(__xludf.DUMMYFUNCTION("""COMPUTED_VALUE"""),"")</f>
        <v/>
      </c>
    </row>
    <row r="466" spans="1:8" ht="12.75">
      <c r="A466" s="46" t="str">
        <f ca="1">IFERROR(__xludf.DUMMYFUNCTION("""COMPUTED_VALUE"""),"")</f>
        <v/>
      </c>
      <c r="B466" s="65"/>
      <c r="C466" s="48" t="str">
        <f ca="1">IFERROR(__xludf.DUMMYFUNCTION("""COMPUTED_VALUE"""),"")</f>
        <v/>
      </c>
      <c r="D466" s="48" t="str">
        <f ca="1">IFERROR(__xludf.DUMMYFUNCTION("""COMPUTED_VALUE"""),"")</f>
        <v/>
      </c>
      <c r="E466" s="49" t="str">
        <f ca="1">IFERROR(__xludf.DUMMYFUNCTION("""COMPUTED_VALUE"""),"")</f>
        <v/>
      </c>
      <c r="F466" s="48" t="str">
        <f ca="1">IFERROR(__xludf.DUMMYFUNCTION("""COMPUTED_VALUE"""),"")</f>
        <v/>
      </c>
      <c r="G466" s="50" t="str">
        <f ca="1">IFERROR(__xludf.DUMMYFUNCTION("""COMPUTED_VALUE"""),"")</f>
        <v/>
      </c>
      <c r="H466" s="50" t="str">
        <f ca="1">IFERROR(__xludf.DUMMYFUNCTION("""COMPUTED_VALUE"""),"")</f>
        <v/>
      </c>
    </row>
    <row r="467" spans="1:8" ht="12.75">
      <c r="A467" s="46" t="str">
        <f ca="1">IFERROR(__xludf.DUMMYFUNCTION("""COMPUTED_VALUE"""),"")</f>
        <v/>
      </c>
      <c r="B467" s="65"/>
      <c r="C467" s="48" t="str">
        <f ca="1">IFERROR(__xludf.DUMMYFUNCTION("""COMPUTED_VALUE"""),"")</f>
        <v/>
      </c>
      <c r="D467" s="48" t="str">
        <f ca="1">IFERROR(__xludf.DUMMYFUNCTION("""COMPUTED_VALUE"""),"")</f>
        <v/>
      </c>
      <c r="E467" s="49" t="str">
        <f ca="1">IFERROR(__xludf.DUMMYFUNCTION("""COMPUTED_VALUE"""),"")</f>
        <v/>
      </c>
      <c r="F467" s="48" t="str">
        <f ca="1">IFERROR(__xludf.DUMMYFUNCTION("""COMPUTED_VALUE"""),"")</f>
        <v/>
      </c>
      <c r="G467" s="50" t="str">
        <f ca="1">IFERROR(__xludf.DUMMYFUNCTION("""COMPUTED_VALUE"""),"")</f>
        <v/>
      </c>
      <c r="H467" s="50" t="str">
        <f ca="1">IFERROR(__xludf.DUMMYFUNCTION("""COMPUTED_VALUE"""),"")</f>
        <v/>
      </c>
    </row>
    <row r="468" spans="1:8" ht="12.75">
      <c r="A468" s="46" t="str">
        <f ca="1">IFERROR(__xludf.DUMMYFUNCTION("""COMPUTED_VALUE"""),"")</f>
        <v/>
      </c>
      <c r="B468" s="65"/>
      <c r="C468" s="48" t="str">
        <f ca="1">IFERROR(__xludf.DUMMYFUNCTION("""COMPUTED_VALUE"""),"")</f>
        <v/>
      </c>
      <c r="D468" s="48" t="str">
        <f ca="1">IFERROR(__xludf.DUMMYFUNCTION("""COMPUTED_VALUE"""),"")</f>
        <v/>
      </c>
      <c r="E468" s="49" t="str">
        <f ca="1">IFERROR(__xludf.DUMMYFUNCTION("""COMPUTED_VALUE"""),"")</f>
        <v/>
      </c>
      <c r="F468" s="48" t="str">
        <f ca="1">IFERROR(__xludf.DUMMYFUNCTION("""COMPUTED_VALUE"""),"")</f>
        <v/>
      </c>
      <c r="G468" s="50" t="str">
        <f ca="1">IFERROR(__xludf.DUMMYFUNCTION("""COMPUTED_VALUE"""),"")</f>
        <v/>
      </c>
      <c r="H468" s="50" t="str">
        <f ca="1">IFERROR(__xludf.DUMMYFUNCTION("""COMPUTED_VALUE"""),"")</f>
        <v/>
      </c>
    </row>
    <row r="469" spans="1:8" ht="12.75">
      <c r="A469" s="46" t="str">
        <f ca="1">IFERROR(__xludf.DUMMYFUNCTION("""COMPUTED_VALUE"""),"")</f>
        <v/>
      </c>
      <c r="B469" s="65"/>
      <c r="C469" s="48" t="str">
        <f ca="1">IFERROR(__xludf.DUMMYFUNCTION("""COMPUTED_VALUE"""),"")</f>
        <v/>
      </c>
      <c r="D469" s="48" t="str">
        <f ca="1">IFERROR(__xludf.DUMMYFUNCTION("""COMPUTED_VALUE"""),"")</f>
        <v/>
      </c>
      <c r="E469" s="49" t="str">
        <f ca="1">IFERROR(__xludf.DUMMYFUNCTION("""COMPUTED_VALUE"""),"")</f>
        <v/>
      </c>
      <c r="F469" s="48" t="str">
        <f ca="1">IFERROR(__xludf.DUMMYFUNCTION("""COMPUTED_VALUE"""),"")</f>
        <v/>
      </c>
      <c r="G469" s="50" t="str">
        <f ca="1">IFERROR(__xludf.DUMMYFUNCTION("""COMPUTED_VALUE"""),"")</f>
        <v/>
      </c>
      <c r="H469" s="50" t="str">
        <f ca="1">IFERROR(__xludf.DUMMYFUNCTION("""COMPUTED_VALUE"""),"")</f>
        <v/>
      </c>
    </row>
    <row r="470" spans="1:8" ht="12.75">
      <c r="A470" s="46" t="str">
        <f ca="1">IFERROR(__xludf.DUMMYFUNCTION("""COMPUTED_VALUE"""),"")</f>
        <v/>
      </c>
      <c r="B470" s="65"/>
      <c r="C470" s="48" t="str">
        <f ca="1">IFERROR(__xludf.DUMMYFUNCTION("""COMPUTED_VALUE"""),"")</f>
        <v/>
      </c>
      <c r="D470" s="48" t="str">
        <f ca="1">IFERROR(__xludf.DUMMYFUNCTION("""COMPUTED_VALUE"""),"")</f>
        <v/>
      </c>
      <c r="E470" s="49" t="str">
        <f ca="1">IFERROR(__xludf.DUMMYFUNCTION("""COMPUTED_VALUE"""),"")</f>
        <v/>
      </c>
      <c r="F470" s="48" t="str">
        <f ca="1">IFERROR(__xludf.DUMMYFUNCTION("""COMPUTED_VALUE"""),"")</f>
        <v/>
      </c>
      <c r="G470" s="50" t="str">
        <f ca="1">IFERROR(__xludf.DUMMYFUNCTION("""COMPUTED_VALUE"""),"")</f>
        <v/>
      </c>
      <c r="H470" s="50" t="str">
        <f ca="1">IFERROR(__xludf.DUMMYFUNCTION("""COMPUTED_VALUE"""),"")</f>
        <v/>
      </c>
    </row>
    <row r="471" spans="1:8" ht="12.75">
      <c r="A471" s="46" t="str">
        <f ca="1">IFERROR(__xludf.DUMMYFUNCTION("""COMPUTED_VALUE"""),"")</f>
        <v/>
      </c>
      <c r="B471" s="65"/>
      <c r="C471" s="48" t="str">
        <f ca="1">IFERROR(__xludf.DUMMYFUNCTION("""COMPUTED_VALUE"""),"")</f>
        <v/>
      </c>
      <c r="D471" s="48" t="str">
        <f ca="1">IFERROR(__xludf.DUMMYFUNCTION("""COMPUTED_VALUE"""),"")</f>
        <v/>
      </c>
      <c r="E471" s="49" t="str">
        <f ca="1">IFERROR(__xludf.DUMMYFUNCTION("""COMPUTED_VALUE"""),"")</f>
        <v/>
      </c>
      <c r="F471" s="48" t="str">
        <f ca="1">IFERROR(__xludf.DUMMYFUNCTION("""COMPUTED_VALUE"""),"")</f>
        <v/>
      </c>
      <c r="G471" s="50" t="str">
        <f ca="1">IFERROR(__xludf.DUMMYFUNCTION("""COMPUTED_VALUE"""),"")</f>
        <v/>
      </c>
      <c r="H471" s="50" t="str">
        <f ca="1">IFERROR(__xludf.DUMMYFUNCTION("""COMPUTED_VALUE"""),"")</f>
        <v/>
      </c>
    </row>
    <row r="472" spans="1:8" ht="12.75">
      <c r="A472" s="46" t="str">
        <f ca="1">IFERROR(__xludf.DUMMYFUNCTION("""COMPUTED_VALUE"""),"")</f>
        <v/>
      </c>
      <c r="B472" s="65"/>
      <c r="C472" s="48" t="str">
        <f ca="1">IFERROR(__xludf.DUMMYFUNCTION("""COMPUTED_VALUE"""),"")</f>
        <v/>
      </c>
      <c r="D472" s="48" t="str">
        <f ca="1">IFERROR(__xludf.DUMMYFUNCTION("""COMPUTED_VALUE"""),"")</f>
        <v/>
      </c>
      <c r="E472" s="49" t="str">
        <f ca="1">IFERROR(__xludf.DUMMYFUNCTION("""COMPUTED_VALUE"""),"")</f>
        <v/>
      </c>
      <c r="F472" s="48" t="str">
        <f ca="1">IFERROR(__xludf.DUMMYFUNCTION("""COMPUTED_VALUE"""),"")</f>
        <v/>
      </c>
      <c r="G472" s="50" t="str">
        <f ca="1">IFERROR(__xludf.DUMMYFUNCTION("""COMPUTED_VALUE"""),"")</f>
        <v/>
      </c>
      <c r="H472" s="50" t="str">
        <f ca="1">IFERROR(__xludf.DUMMYFUNCTION("""COMPUTED_VALUE"""),"")</f>
        <v/>
      </c>
    </row>
    <row r="473" spans="1:8" ht="12.75">
      <c r="A473" s="46" t="str">
        <f ca="1">IFERROR(__xludf.DUMMYFUNCTION("""COMPUTED_VALUE"""),"")</f>
        <v/>
      </c>
      <c r="B473" s="65"/>
      <c r="C473" s="48" t="str">
        <f ca="1">IFERROR(__xludf.DUMMYFUNCTION("""COMPUTED_VALUE"""),"")</f>
        <v/>
      </c>
      <c r="D473" s="48" t="str">
        <f ca="1">IFERROR(__xludf.DUMMYFUNCTION("""COMPUTED_VALUE"""),"")</f>
        <v/>
      </c>
      <c r="E473" s="49" t="str">
        <f ca="1">IFERROR(__xludf.DUMMYFUNCTION("""COMPUTED_VALUE"""),"")</f>
        <v/>
      </c>
      <c r="F473" s="48" t="str">
        <f ca="1">IFERROR(__xludf.DUMMYFUNCTION("""COMPUTED_VALUE"""),"")</f>
        <v/>
      </c>
      <c r="G473" s="50" t="str">
        <f ca="1">IFERROR(__xludf.DUMMYFUNCTION("""COMPUTED_VALUE"""),"")</f>
        <v/>
      </c>
      <c r="H473" s="50" t="str">
        <f ca="1">IFERROR(__xludf.DUMMYFUNCTION("""COMPUTED_VALUE"""),"")</f>
        <v/>
      </c>
    </row>
    <row r="474" spans="1:8" ht="12.75">
      <c r="A474" s="46" t="str">
        <f ca="1">IFERROR(__xludf.DUMMYFUNCTION("""COMPUTED_VALUE"""),"")</f>
        <v/>
      </c>
      <c r="B474" s="65"/>
      <c r="C474" s="48" t="str">
        <f ca="1">IFERROR(__xludf.DUMMYFUNCTION("""COMPUTED_VALUE"""),"")</f>
        <v/>
      </c>
      <c r="D474" s="48" t="str">
        <f ca="1">IFERROR(__xludf.DUMMYFUNCTION("""COMPUTED_VALUE"""),"")</f>
        <v/>
      </c>
      <c r="E474" s="49" t="str">
        <f ca="1">IFERROR(__xludf.DUMMYFUNCTION("""COMPUTED_VALUE"""),"")</f>
        <v/>
      </c>
      <c r="F474" s="48" t="str">
        <f ca="1">IFERROR(__xludf.DUMMYFUNCTION("""COMPUTED_VALUE"""),"")</f>
        <v/>
      </c>
      <c r="G474" s="50" t="str">
        <f ca="1">IFERROR(__xludf.DUMMYFUNCTION("""COMPUTED_VALUE"""),"")</f>
        <v/>
      </c>
      <c r="H474" s="50" t="str">
        <f ca="1">IFERROR(__xludf.DUMMYFUNCTION("""COMPUTED_VALUE"""),"")</f>
        <v/>
      </c>
    </row>
    <row r="475" spans="1:8" ht="12.75">
      <c r="A475" s="46" t="str">
        <f ca="1">IFERROR(__xludf.DUMMYFUNCTION("""COMPUTED_VALUE"""),"")</f>
        <v/>
      </c>
      <c r="B475" s="65"/>
      <c r="C475" s="48" t="str">
        <f ca="1">IFERROR(__xludf.DUMMYFUNCTION("""COMPUTED_VALUE"""),"")</f>
        <v/>
      </c>
      <c r="D475" s="48" t="str">
        <f ca="1">IFERROR(__xludf.DUMMYFUNCTION("""COMPUTED_VALUE"""),"")</f>
        <v/>
      </c>
      <c r="E475" s="49" t="str">
        <f ca="1">IFERROR(__xludf.DUMMYFUNCTION("""COMPUTED_VALUE"""),"")</f>
        <v/>
      </c>
      <c r="F475" s="48" t="str">
        <f ca="1">IFERROR(__xludf.DUMMYFUNCTION("""COMPUTED_VALUE"""),"")</f>
        <v/>
      </c>
      <c r="G475" s="50" t="str">
        <f ca="1">IFERROR(__xludf.DUMMYFUNCTION("""COMPUTED_VALUE"""),"")</f>
        <v/>
      </c>
      <c r="H475" s="50" t="str">
        <f ca="1">IFERROR(__xludf.DUMMYFUNCTION("""COMPUTED_VALUE"""),"")</f>
        <v/>
      </c>
    </row>
    <row r="476" spans="1:8" ht="12.75">
      <c r="A476" s="46" t="str">
        <f ca="1">IFERROR(__xludf.DUMMYFUNCTION("""COMPUTED_VALUE"""),"")</f>
        <v/>
      </c>
      <c r="B476" s="65"/>
      <c r="C476" s="48" t="str">
        <f ca="1">IFERROR(__xludf.DUMMYFUNCTION("""COMPUTED_VALUE"""),"")</f>
        <v/>
      </c>
      <c r="D476" s="48" t="str">
        <f ca="1">IFERROR(__xludf.DUMMYFUNCTION("""COMPUTED_VALUE"""),"")</f>
        <v/>
      </c>
      <c r="E476" s="49" t="str">
        <f ca="1">IFERROR(__xludf.DUMMYFUNCTION("""COMPUTED_VALUE"""),"")</f>
        <v/>
      </c>
      <c r="F476" s="48" t="str">
        <f ca="1">IFERROR(__xludf.DUMMYFUNCTION("""COMPUTED_VALUE"""),"")</f>
        <v/>
      </c>
      <c r="G476" s="50" t="str">
        <f ca="1">IFERROR(__xludf.DUMMYFUNCTION("""COMPUTED_VALUE"""),"")</f>
        <v/>
      </c>
      <c r="H476" s="50" t="str">
        <f ca="1">IFERROR(__xludf.DUMMYFUNCTION("""COMPUTED_VALUE"""),"")</f>
        <v/>
      </c>
    </row>
    <row r="477" spans="1:8" ht="12.75">
      <c r="A477" s="46" t="str">
        <f ca="1">IFERROR(__xludf.DUMMYFUNCTION("""COMPUTED_VALUE"""),"")</f>
        <v/>
      </c>
      <c r="B477" s="65"/>
      <c r="C477" s="48" t="str">
        <f ca="1">IFERROR(__xludf.DUMMYFUNCTION("""COMPUTED_VALUE"""),"")</f>
        <v/>
      </c>
      <c r="D477" s="68" t="str">
        <f ca="1">IFERROR(__xludf.DUMMYFUNCTION("""COMPUTED_VALUE"""),"")</f>
        <v/>
      </c>
      <c r="E477" s="69" t="str">
        <f ca="1">IFERROR(__xludf.DUMMYFUNCTION("""COMPUTED_VALUE"""),"")</f>
        <v/>
      </c>
      <c r="F477" s="68" t="str">
        <f ca="1">IFERROR(__xludf.DUMMYFUNCTION("""COMPUTED_VALUE"""),"")</f>
        <v/>
      </c>
      <c r="G477" s="51" t="str">
        <f ca="1">IFERROR(__xludf.DUMMYFUNCTION("""COMPUTED_VALUE"""),"")</f>
        <v/>
      </c>
      <c r="H477" s="50" t="str">
        <f ca="1">IFERROR(__xludf.DUMMYFUNCTION("""COMPUTED_VALUE"""),"")</f>
        <v/>
      </c>
    </row>
    <row r="478" spans="1:8" ht="12.75">
      <c r="A478" s="46" t="str">
        <f ca="1">IFERROR(__xludf.DUMMYFUNCTION("""COMPUTED_VALUE"""),"")</f>
        <v/>
      </c>
      <c r="B478" s="65"/>
      <c r="C478" s="48" t="str">
        <f ca="1">IFERROR(__xludf.DUMMYFUNCTION("""COMPUTED_VALUE"""),"")</f>
        <v/>
      </c>
      <c r="D478" s="48" t="str">
        <f ca="1">IFERROR(__xludf.DUMMYFUNCTION("""COMPUTED_VALUE"""),"")</f>
        <v/>
      </c>
      <c r="E478" s="49" t="str">
        <f ca="1">IFERROR(__xludf.DUMMYFUNCTION("""COMPUTED_VALUE"""),"")</f>
        <v/>
      </c>
      <c r="F478" s="48" t="str">
        <f ca="1">IFERROR(__xludf.DUMMYFUNCTION("""COMPUTED_VALUE"""),"")</f>
        <v/>
      </c>
      <c r="G478" s="50" t="str">
        <f ca="1">IFERROR(__xludf.DUMMYFUNCTION("""COMPUTED_VALUE"""),"")</f>
        <v/>
      </c>
      <c r="H478" s="50" t="str">
        <f ca="1">IFERROR(__xludf.DUMMYFUNCTION("""COMPUTED_VALUE"""),"")</f>
        <v/>
      </c>
    </row>
    <row r="479" spans="1:8" ht="12.75">
      <c r="A479" s="46" t="str">
        <f ca="1">IFERROR(__xludf.DUMMYFUNCTION("""COMPUTED_VALUE"""),"")</f>
        <v/>
      </c>
      <c r="B479" s="65"/>
      <c r="C479" s="48" t="str">
        <f ca="1">IFERROR(__xludf.DUMMYFUNCTION("""COMPUTED_VALUE"""),"")</f>
        <v/>
      </c>
      <c r="D479" s="48" t="str">
        <f ca="1">IFERROR(__xludf.DUMMYFUNCTION("""COMPUTED_VALUE"""),"")</f>
        <v/>
      </c>
      <c r="E479" s="49" t="str">
        <f ca="1">IFERROR(__xludf.DUMMYFUNCTION("""COMPUTED_VALUE"""),"")</f>
        <v/>
      </c>
      <c r="F479" s="48" t="str">
        <f ca="1">IFERROR(__xludf.DUMMYFUNCTION("""COMPUTED_VALUE"""),"")</f>
        <v/>
      </c>
      <c r="G479" s="50" t="str">
        <f ca="1">IFERROR(__xludf.DUMMYFUNCTION("""COMPUTED_VALUE"""),"")</f>
        <v/>
      </c>
      <c r="H479" s="50" t="str">
        <f ca="1">IFERROR(__xludf.DUMMYFUNCTION("""COMPUTED_VALUE"""),"")</f>
        <v/>
      </c>
    </row>
    <row r="480" spans="1:8" ht="12.75">
      <c r="A480" s="46" t="str">
        <f ca="1">IFERROR(__xludf.DUMMYFUNCTION("""COMPUTED_VALUE"""),"")</f>
        <v/>
      </c>
      <c r="B480" s="65"/>
      <c r="C480" s="48" t="str">
        <f ca="1">IFERROR(__xludf.DUMMYFUNCTION("""COMPUTED_VALUE"""),"")</f>
        <v/>
      </c>
      <c r="D480" s="48" t="str">
        <f ca="1">IFERROR(__xludf.DUMMYFUNCTION("""COMPUTED_VALUE"""),"")</f>
        <v/>
      </c>
      <c r="E480" s="49" t="str">
        <f ca="1">IFERROR(__xludf.DUMMYFUNCTION("""COMPUTED_VALUE"""),"")</f>
        <v/>
      </c>
      <c r="F480" s="48" t="str">
        <f ca="1">IFERROR(__xludf.DUMMYFUNCTION("""COMPUTED_VALUE"""),"")</f>
        <v/>
      </c>
      <c r="G480" s="50" t="str">
        <f ca="1">IFERROR(__xludf.DUMMYFUNCTION("""COMPUTED_VALUE"""),"")</f>
        <v/>
      </c>
      <c r="H480" s="50" t="str">
        <f ca="1">IFERROR(__xludf.DUMMYFUNCTION("""COMPUTED_VALUE"""),"")</f>
        <v/>
      </c>
    </row>
    <row r="481" spans="1:8" ht="12.75">
      <c r="A481" s="46" t="str">
        <f ca="1">IFERROR(__xludf.DUMMYFUNCTION("""COMPUTED_VALUE"""),"")</f>
        <v/>
      </c>
      <c r="B481" s="65"/>
      <c r="C481" s="48" t="str">
        <f ca="1">IFERROR(__xludf.DUMMYFUNCTION("""COMPUTED_VALUE"""),"")</f>
        <v/>
      </c>
      <c r="D481" s="48" t="str">
        <f ca="1">IFERROR(__xludf.DUMMYFUNCTION("""COMPUTED_VALUE"""),"")</f>
        <v/>
      </c>
      <c r="E481" s="49" t="str">
        <f ca="1">IFERROR(__xludf.DUMMYFUNCTION("""COMPUTED_VALUE"""),"")</f>
        <v/>
      </c>
      <c r="F481" s="48" t="str">
        <f ca="1">IFERROR(__xludf.DUMMYFUNCTION("""COMPUTED_VALUE"""),"")</f>
        <v/>
      </c>
      <c r="G481" s="50" t="str">
        <f ca="1">IFERROR(__xludf.DUMMYFUNCTION("""COMPUTED_VALUE"""),"")</f>
        <v/>
      </c>
      <c r="H481" s="50" t="str">
        <f ca="1">IFERROR(__xludf.DUMMYFUNCTION("""COMPUTED_VALUE"""),"")</f>
        <v/>
      </c>
    </row>
    <row r="482" spans="1:8" ht="12.75">
      <c r="A482" s="46" t="str">
        <f ca="1">IFERROR(__xludf.DUMMYFUNCTION("""COMPUTED_VALUE"""),"")</f>
        <v/>
      </c>
      <c r="B482" s="65"/>
      <c r="C482" s="48" t="str">
        <f ca="1">IFERROR(__xludf.DUMMYFUNCTION("""COMPUTED_VALUE"""),"")</f>
        <v/>
      </c>
      <c r="D482" s="48" t="str">
        <f ca="1">IFERROR(__xludf.DUMMYFUNCTION("""COMPUTED_VALUE"""),"")</f>
        <v/>
      </c>
      <c r="E482" s="49" t="str">
        <f ca="1">IFERROR(__xludf.DUMMYFUNCTION("""COMPUTED_VALUE"""),"")</f>
        <v/>
      </c>
      <c r="F482" s="48" t="str">
        <f ca="1">IFERROR(__xludf.DUMMYFUNCTION("""COMPUTED_VALUE"""),"")</f>
        <v/>
      </c>
      <c r="G482" s="50" t="str">
        <f ca="1">IFERROR(__xludf.DUMMYFUNCTION("""COMPUTED_VALUE"""),"")</f>
        <v/>
      </c>
      <c r="H482" s="50" t="str">
        <f ca="1">IFERROR(__xludf.DUMMYFUNCTION("""COMPUTED_VALUE"""),"")</f>
        <v/>
      </c>
    </row>
    <row r="483" spans="1:8" ht="12.75">
      <c r="A483" s="46" t="str">
        <f ca="1">IFERROR(__xludf.DUMMYFUNCTION("""COMPUTED_VALUE"""),"")</f>
        <v/>
      </c>
      <c r="B483" s="65"/>
      <c r="C483" s="48" t="str">
        <f ca="1">IFERROR(__xludf.DUMMYFUNCTION("""COMPUTED_VALUE"""),"")</f>
        <v/>
      </c>
      <c r="D483" s="48" t="str">
        <f ca="1">IFERROR(__xludf.DUMMYFUNCTION("""COMPUTED_VALUE"""),"")</f>
        <v/>
      </c>
      <c r="E483" s="49" t="str">
        <f ca="1">IFERROR(__xludf.DUMMYFUNCTION("""COMPUTED_VALUE"""),"")</f>
        <v/>
      </c>
      <c r="F483" s="48" t="str">
        <f ca="1">IFERROR(__xludf.DUMMYFUNCTION("""COMPUTED_VALUE"""),"")</f>
        <v/>
      </c>
      <c r="G483" s="50" t="str">
        <f ca="1">IFERROR(__xludf.DUMMYFUNCTION("""COMPUTED_VALUE"""),"")</f>
        <v/>
      </c>
      <c r="H483" s="50" t="str">
        <f ca="1">IFERROR(__xludf.DUMMYFUNCTION("""COMPUTED_VALUE"""),"")</f>
        <v/>
      </c>
    </row>
    <row r="484" spans="1:8" ht="12.75">
      <c r="A484" s="46" t="str">
        <f ca="1">IFERROR(__xludf.DUMMYFUNCTION("""COMPUTED_VALUE"""),"")</f>
        <v/>
      </c>
      <c r="B484" s="65"/>
      <c r="C484" s="48" t="str">
        <f ca="1">IFERROR(__xludf.DUMMYFUNCTION("""COMPUTED_VALUE"""),"")</f>
        <v/>
      </c>
      <c r="D484" s="48" t="str">
        <f ca="1">IFERROR(__xludf.DUMMYFUNCTION("""COMPUTED_VALUE"""),"")</f>
        <v/>
      </c>
      <c r="E484" s="49" t="str">
        <f ca="1">IFERROR(__xludf.DUMMYFUNCTION("""COMPUTED_VALUE"""),"")</f>
        <v/>
      </c>
      <c r="F484" s="48" t="str">
        <f ca="1">IFERROR(__xludf.DUMMYFUNCTION("""COMPUTED_VALUE"""),"")</f>
        <v/>
      </c>
      <c r="G484" s="50" t="str">
        <f ca="1">IFERROR(__xludf.DUMMYFUNCTION("""COMPUTED_VALUE"""),"")</f>
        <v/>
      </c>
      <c r="H484" s="50" t="str">
        <f ca="1">IFERROR(__xludf.DUMMYFUNCTION("""COMPUTED_VALUE"""),"")</f>
        <v/>
      </c>
    </row>
    <row r="485" spans="1:8" ht="12.75">
      <c r="A485" s="46" t="str">
        <f ca="1">IFERROR(__xludf.DUMMYFUNCTION("""COMPUTED_VALUE"""),"")</f>
        <v/>
      </c>
      <c r="B485" s="65"/>
      <c r="C485" s="48" t="str">
        <f ca="1">IFERROR(__xludf.DUMMYFUNCTION("""COMPUTED_VALUE"""),"")</f>
        <v/>
      </c>
      <c r="D485" s="48" t="str">
        <f ca="1">IFERROR(__xludf.DUMMYFUNCTION("""COMPUTED_VALUE"""),"")</f>
        <v/>
      </c>
      <c r="E485" s="49" t="str">
        <f ca="1">IFERROR(__xludf.DUMMYFUNCTION("""COMPUTED_VALUE"""),"")</f>
        <v/>
      </c>
      <c r="F485" s="48" t="str">
        <f ca="1">IFERROR(__xludf.DUMMYFUNCTION("""COMPUTED_VALUE"""),"")</f>
        <v/>
      </c>
      <c r="G485" s="50" t="str">
        <f ca="1">IFERROR(__xludf.DUMMYFUNCTION("""COMPUTED_VALUE"""),"")</f>
        <v/>
      </c>
      <c r="H485" s="50" t="str">
        <f ca="1">IFERROR(__xludf.DUMMYFUNCTION("""COMPUTED_VALUE"""),"")</f>
        <v/>
      </c>
    </row>
    <row r="486" spans="1:8" ht="12.75">
      <c r="A486" s="46" t="str">
        <f ca="1">IFERROR(__xludf.DUMMYFUNCTION("""COMPUTED_VALUE"""),"")</f>
        <v/>
      </c>
      <c r="B486" s="65"/>
      <c r="C486" s="48" t="str">
        <f ca="1">IFERROR(__xludf.DUMMYFUNCTION("""COMPUTED_VALUE"""),"")</f>
        <v/>
      </c>
      <c r="D486" s="48" t="str">
        <f ca="1">IFERROR(__xludf.DUMMYFUNCTION("""COMPUTED_VALUE"""),"")</f>
        <v/>
      </c>
      <c r="E486" s="49" t="str">
        <f ca="1">IFERROR(__xludf.DUMMYFUNCTION("""COMPUTED_VALUE"""),"")</f>
        <v/>
      </c>
      <c r="F486" s="48" t="str">
        <f ca="1">IFERROR(__xludf.DUMMYFUNCTION("""COMPUTED_VALUE"""),"")</f>
        <v/>
      </c>
      <c r="G486" s="50" t="str">
        <f ca="1">IFERROR(__xludf.DUMMYFUNCTION("""COMPUTED_VALUE"""),"")</f>
        <v/>
      </c>
      <c r="H486" s="50" t="str">
        <f ca="1">IFERROR(__xludf.DUMMYFUNCTION("""COMPUTED_VALUE"""),"")</f>
        <v/>
      </c>
    </row>
    <row r="487" spans="1:8" ht="12.75">
      <c r="A487" s="46" t="str">
        <f ca="1">IFERROR(__xludf.DUMMYFUNCTION("""COMPUTED_VALUE"""),"")</f>
        <v/>
      </c>
      <c r="B487" s="65"/>
      <c r="C487" s="48" t="str">
        <f ca="1">IFERROR(__xludf.DUMMYFUNCTION("""COMPUTED_VALUE"""),"")</f>
        <v/>
      </c>
      <c r="D487" s="48" t="str">
        <f ca="1">IFERROR(__xludf.DUMMYFUNCTION("""COMPUTED_VALUE"""),"")</f>
        <v/>
      </c>
      <c r="E487" s="49" t="str">
        <f ca="1">IFERROR(__xludf.DUMMYFUNCTION("""COMPUTED_VALUE"""),"")</f>
        <v/>
      </c>
      <c r="F487" s="48" t="str">
        <f ca="1">IFERROR(__xludf.DUMMYFUNCTION("""COMPUTED_VALUE"""),"")</f>
        <v/>
      </c>
      <c r="G487" s="50" t="str">
        <f ca="1">IFERROR(__xludf.DUMMYFUNCTION("""COMPUTED_VALUE"""),"")</f>
        <v/>
      </c>
      <c r="H487" s="50" t="str">
        <f ca="1">IFERROR(__xludf.DUMMYFUNCTION("""COMPUTED_VALUE"""),"")</f>
        <v/>
      </c>
    </row>
    <row r="488" spans="1:8" ht="12.75">
      <c r="A488" s="46" t="str">
        <f ca="1">IFERROR(__xludf.DUMMYFUNCTION("""COMPUTED_VALUE"""),"")</f>
        <v/>
      </c>
      <c r="B488" s="65"/>
      <c r="C488" s="48" t="str">
        <f ca="1">IFERROR(__xludf.DUMMYFUNCTION("""COMPUTED_VALUE"""),"")</f>
        <v/>
      </c>
      <c r="D488" s="48" t="str">
        <f ca="1">IFERROR(__xludf.DUMMYFUNCTION("""COMPUTED_VALUE"""),"")</f>
        <v/>
      </c>
      <c r="E488" s="49" t="str">
        <f ca="1">IFERROR(__xludf.DUMMYFUNCTION("""COMPUTED_VALUE"""),"")</f>
        <v/>
      </c>
      <c r="F488" s="48" t="str">
        <f ca="1">IFERROR(__xludf.DUMMYFUNCTION("""COMPUTED_VALUE"""),"")</f>
        <v/>
      </c>
      <c r="G488" s="50" t="str">
        <f ca="1">IFERROR(__xludf.DUMMYFUNCTION("""COMPUTED_VALUE"""),"")</f>
        <v/>
      </c>
      <c r="H488" s="50" t="str">
        <f ca="1">IFERROR(__xludf.DUMMYFUNCTION("""COMPUTED_VALUE"""),"")</f>
        <v/>
      </c>
    </row>
    <row r="489" spans="1:8" ht="12.75">
      <c r="A489" s="46" t="str">
        <f ca="1">IFERROR(__xludf.DUMMYFUNCTION("""COMPUTED_VALUE"""),"")</f>
        <v/>
      </c>
      <c r="B489" s="65"/>
      <c r="C489" s="48" t="str">
        <f ca="1">IFERROR(__xludf.DUMMYFUNCTION("""COMPUTED_VALUE"""),"")</f>
        <v/>
      </c>
      <c r="D489" s="48" t="str">
        <f ca="1">IFERROR(__xludf.DUMMYFUNCTION("""COMPUTED_VALUE"""),"")</f>
        <v/>
      </c>
      <c r="E489" s="49" t="str">
        <f ca="1">IFERROR(__xludf.DUMMYFUNCTION("""COMPUTED_VALUE"""),"")</f>
        <v/>
      </c>
      <c r="F489" s="48" t="str">
        <f ca="1">IFERROR(__xludf.DUMMYFUNCTION("""COMPUTED_VALUE"""),"")</f>
        <v/>
      </c>
      <c r="G489" s="50" t="str">
        <f ca="1">IFERROR(__xludf.DUMMYFUNCTION("""COMPUTED_VALUE"""),"")</f>
        <v/>
      </c>
      <c r="H489" s="50" t="str">
        <f ca="1">IFERROR(__xludf.DUMMYFUNCTION("""COMPUTED_VALUE"""),"")</f>
        <v/>
      </c>
    </row>
    <row r="490" spans="1:8" ht="12.75">
      <c r="A490" s="46" t="str">
        <f ca="1">IFERROR(__xludf.DUMMYFUNCTION("""COMPUTED_VALUE"""),"")</f>
        <v/>
      </c>
      <c r="B490" s="65"/>
      <c r="C490" s="48" t="str">
        <f ca="1">IFERROR(__xludf.DUMMYFUNCTION("""COMPUTED_VALUE"""),"")</f>
        <v/>
      </c>
      <c r="D490" s="48" t="str">
        <f ca="1">IFERROR(__xludf.DUMMYFUNCTION("""COMPUTED_VALUE"""),"")</f>
        <v/>
      </c>
      <c r="E490" s="49" t="str">
        <f ca="1">IFERROR(__xludf.DUMMYFUNCTION("""COMPUTED_VALUE"""),"")</f>
        <v/>
      </c>
      <c r="F490" s="48" t="str">
        <f ca="1">IFERROR(__xludf.DUMMYFUNCTION("""COMPUTED_VALUE"""),"")</f>
        <v/>
      </c>
      <c r="G490" s="50" t="str">
        <f ca="1">IFERROR(__xludf.DUMMYFUNCTION("""COMPUTED_VALUE"""),"")</f>
        <v/>
      </c>
      <c r="H490" s="50" t="str">
        <f ca="1">IFERROR(__xludf.DUMMYFUNCTION("""COMPUTED_VALUE"""),"")</f>
        <v/>
      </c>
    </row>
    <row r="491" spans="1:8" ht="12.75">
      <c r="A491" s="46" t="str">
        <f ca="1">IFERROR(__xludf.DUMMYFUNCTION("""COMPUTED_VALUE"""),"")</f>
        <v/>
      </c>
      <c r="B491" s="65"/>
      <c r="C491" s="48" t="str">
        <f ca="1">IFERROR(__xludf.DUMMYFUNCTION("""COMPUTED_VALUE"""),"")</f>
        <v/>
      </c>
      <c r="D491" s="48" t="str">
        <f ca="1">IFERROR(__xludf.DUMMYFUNCTION("""COMPUTED_VALUE"""),"")</f>
        <v/>
      </c>
      <c r="E491" s="49" t="str">
        <f ca="1">IFERROR(__xludf.DUMMYFUNCTION("""COMPUTED_VALUE"""),"")</f>
        <v/>
      </c>
      <c r="F491" s="48" t="str">
        <f ca="1">IFERROR(__xludf.DUMMYFUNCTION("""COMPUTED_VALUE"""),"")</f>
        <v/>
      </c>
      <c r="G491" s="50" t="str">
        <f ca="1">IFERROR(__xludf.DUMMYFUNCTION("""COMPUTED_VALUE"""),"")</f>
        <v/>
      </c>
      <c r="H491" s="50" t="str">
        <f ca="1">IFERROR(__xludf.DUMMYFUNCTION("""COMPUTED_VALUE"""),"")</f>
        <v/>
      </c>
    </row>
    <row r="492" spans="1:8" ht="12.75">
      <c r="A492" s="46" t="str">
        <f ca="1">IFERROR(__xludf.DUMMYFUNCTION("""COMPUTED_VALUE"""),"")</f>
        <v/>
      </c>
      <c r="B492" s="65"/>
      <c r="C492" s="48" t="str">
        <f ca="1">IFERROR(__xludf.DUMMYFUNCTION("""COMPUTED_VALUE"""),"")</f>
        <v/>
      </c>
      <c r="D492" s="48" t="str">
        <f ca="1">IFERROR(__xludf.DUMMYFUNCTION("""COMPUTED_VALUE"""),"")</f>
        <v/>
      </c>
      <c r="E492" s="49" t="str">
        <f ca="1">IFERROR(__xludf.DUMMYFUNCTION("""COMPUTED_VALUE"""),"")</f>
        <v/>
      </c>
      <c r="F492" s="48" t="str">
        <f ca="1">IFERROR(__xludf.DUMMYFUNCTION("""COMPUTED_VALUE"""),"")</f>
        <v/>
      </c>
      <c r="G492" s="50" t="str">
        <f ca="1">IFERROR(__xludf.DUMMYFUNCTION("""COMPUTED_VALUE"""),"")</f>
        <v/>
      </c>
      <c r="H492" s="50" t="str">
        <f ca="1">IFERROR(__xludf.DUMMYFUNCTION("""COMPUTED_VALUE"""),"")</f>
        <v/>
      </c>
    </row>
    <row r="493" spans="1:8" ht="12.75">
      <c r="A493" s="46" t="str">
        <f ca="1">IFERROR(__xludf.DUMMYFUNCTION("""COMPUTED_VALUE"""),"")</f>
        <v/>
      </c>
      <c r="B493" s="65"/>
      <c r="C493" s="48" t="str">
        <f ca="1">IFERROR(__xludf.DUMMYFUNCTION("""COMPUTED_VALUE"""),"")</f>
        <v/>
      </c>
      <c r="D493" s="48" t="str">
        <f ca="1">IFERROR(__xludf.DUMMYFUNCTION("""COMPUTED_VALUE"""),"")</f>
        <v/>
      </c>
      <c r="E493" s="49" t="str">
        <f ca="1">IFERROR(__xludf.DUMMYFUNCTION("""COMPUTED_VALUE"""),"")</f>
        <v/>
      </c>
      <c r="F493" s="48" t="str">
        <f ca="1">IFERROR(__xludf.DUMMYFUNCTION("""COMPUTED_VALUE"""),"")</f>
        <v/>
      </c>
      <c r="G493" s="50" t="str">
        <f ca="1">IFERROR(__xludf.DUMMYFUNCTION("""COMPUTED_VALUE"""),"")</f>
        <v/>
      </c>
      <c r="H493" s="50" t="str">
        <f ca="1">IFERROR(__xludf.DUMMYFUNCTION("""COMPUTED_VALUE"""),"")</f>
        <v/>
      </c>
    </row>
    <row r="494" spans="1:8" ht="12.75">
      <c r="A494" s="46" t="str">
        <f ca="1">IFERROR(__xludf.DUMMYFUNCTION("""COMPUTED_VALUE"""),"")</f>
        <v/>
      </c>
      <c r="B494" s="65"/>
      <c r="C494" s="48" t="str">
        <f ca="1">IFERROR(__xludf.DUMMYFUNCTION("""COMPUTED_VALUE"""),"")</f>
        <v/>
      </c>
      <c r="D494" s="48" t="str">
        <f ca="1">IFERROR(__xludf.DUMMYFUNCTION("""COMPUTED_VALUE"""),"")</f>
        <v/>
      </c>
      <c r="E494" s="49" t="str">
        <f ca="1">IFERROR(__xludf.DUMMYFUNCTION("""COMPUTED_VALUE"""),"")</f>
        <v/>
      </c>
      <c r="F494" s="48" t="str">
        <f ca="1">IFERROR(__xludf.DUMMYFUNCTION("""COMPUTED_VALUE"""),"")</f>
        <v/>
      </c>
      <c r="G494" s="50" t="str">
        <f ca="1">IFERROR(__xludf.DUMMYFUNCTION("""COMPUTED_VALUE"""),"")</f>
        <v/>
      </c>
      <c r="H494" s="50" t="str">
        <f ca="1">IFERROR(__xludf.DUMMYFUNCTION("""COMPUTED_VALUE"""),"")</f>
        <v/>
      </c>
    </row>
    <row r="495" spans="1:8" ht="12.75">
      <c r="A495" s="46" t="str">
        <f ca="1">IFERROR(__xludf.DUMMYFUNCTION("""COMPUTED_VALUE"""),"")</f>
        <v/>
      </c>
      <c r="B495" s="65"/>
      <c r="C495" s="48" t="str">
        <f ca="1">IFERROR(__xludf.DUMMYFUNCTION("""COMPUTED_VALUE"""),"")</f>
        <v/>
      </c>
      <c r="D495" s="48" t="str">
        <f ca="1">IFERROR(__xludf.DUMMYFUNCTION("""COMPUTED_VALUE"""),"")</f>
        <v/>
      </c>
      <c r="E495" s="49" t="str">
        <f ca="1">IFERROR(__xludf.DUMMYFUNCTION("""COMPUTED_VALUE"""),"")</f>
        <v/>
      </c>
      <c r="F495" s="48" t="str">
        <f ca="1">IFERROR(__xludf.DUMMYFUNCTION("""COMPUTED_VALUE"""),"")</f>
        <v/>
      </c>
      <c r="G495" s="50" t="str">
        <f ca="1">IFERROR(__xludf.DUMMYFUNCTION("""COMPUTED_VALUE"""),"")</f>
        <v/>
      </c>
      <c r="H495" s="50" t="str">
        <f ca="1">IFERROR(__xludf.DUMMYFUNCTION("""COMPUTED_VALUE"""),"")</f>
        <v/>
      </c>
    </row>
    <row r="496" spans="1:8" ht="12.75">
      <c r="A496" s="46" t="str">
        <f ca="1">IFERROR(__xludf.DUMMYFUNCTION("""COMPUTED_VALUE"""),"")</f>
        <v/>
      </c>
      <c r="B496" s="65"/>
      <c r="C496" s="48" t="str">
        <f ca="1">IFERROR(__xludf.DUMMYFUNCTION("""COMPUTED_VALUE"""),"")</f>
        <v/>
      </c>
      <c r="D496" s="48" t="str">
        <f ca="1">IFERROR(__xludf.DUMMYFUNCTION("""COMPUTED_VALUE"""),"")</f>
        <v/>
      </c>
      <c r="E496" s="49" t="str">
        <f ca="1">IFERROR(__xludf.DUMMYFUNCTION("""COMPUTED_VALUE"""),"")</f>
        <v/>
      </c>
      <c r="F496" s="48" t="str">
        <f ca="1">IFERROR(__xludf.DUMMYFUNCTION("""COMPUTED_VALUE"""),"")</f>
        <v/>
      </c>
      <c r="G496" s="50" t="str">
        <f ca="1">IFERROR(__xludf.DUMMYFUNCTION("""COMPUTED_VALUE"""),"")</f>
        <v/>
      </c>
      <c r="H496" s="50" t="str">
        <f ca="1">IFERROR(__xludf.DUMMYFUNCTION("""COMPUTED_VALUE"""),"")</f>
        <v/>
      </c>
    </row>
    <row r="497" spans="1:8" ht="12.75">
      <c r="A497" s="46" t="str">
        <f ca="1">IFERROR(__xludf.DUMMYFUNCTION("""COMPUTED_VALUE"""),"")</f>
        <v/>
      </c>
      <c r="B497" s="65"/>
      <c r="C497" s="48" t="str">
        <f ca="1">IFERROR(__xludf.DUMMYFUNCTION("""COMPUTED_VALUE"""),"")</f>
        <v/>
      </c>
      <c r="D497" s="48" t="str">
        <f ca="1">IFERROR(__xludf.DUMMYFUNCTION("""COMPUTED_VALUE"""),"")</f>
        <v/>
      </c>
      <c r="E497" s="49" t="str">
        <f ca="1">IFERROR(__xludf.DUMMYFUNCTION("""COMPUTED_VALUE"""),"")</f>
        <v/>
      </c>
      <c r="F497" s="48" t="str">
        <f ca="1">IFERROR(__xludf.DUMMYFUNCTION("""COMPUTED_VALUE"""),"")</f>
        <v/>
      </c>
      <c r="G497" s="50" t="str">
        <f ca="1">IFERROR(__xludf.DUMMYFUNCTION("""COMPUTED_VALUE"""),"")</f>
        <v/>
      </c>
      <c r="H497" s="50" t="str">
        <f ca="1">IFERROR(__xludf.DUMMYFUNCTION("""COMPUTED_VALUE"""),"")</f>
        <v/>
      </c>
    </row>
    <row r="498" spans="1:8" ht="12.75">
      <c r="A498" s="46" t="str">
        <f ca="1">IFERROR(__xludf.DUMMYFUNCTION("""COMPUTED_VALUE"""),"")</f>
        <v/>
      </c>
      <c r="B498" s="65"/>
      <c r="C498" s="48" t="str">
        <f ca="1">IFERROR(__xludf.DUMMYFUNCTION("""COMPUTED_VALUE"""),"")</f>
        <v/>
      </c>
      <c r="D498" s="48" t="str">
        <f ca="1">IFERROR(__xludf.DUMMYFUNCTION("""COMPUTED_VALUE"""),"")</f>
        <v/>
      </c>
      <c r="E498" s="49" t="str">
        <f ca="1">IFERROR(__xludf.DUMMYFUNCTION("""COMPUTED_VALUE"""),"")</f>
        <v/>
      </c>
      <c r="F498" s="48" t="str">
        <f ca="1">IFERROR(__xludf.DUMMYFUNCTION("""COMPUTED_VALUE"""),"")</f>
        <v/>
      </c>
      <c r="G498" s="50" t="str">
        <f ca="1">IFERROR(__xludf.DUMMYFUNCTION("""COMPUTED_VALUE"""),"")</f>
        <v/>
      </c>
      <c r="H498" s="50" t="str">
        <f ca="1">IFERROR(__xludf.DUMMYFUNCTION("""COMPUTED_VALUE"""),"")</f>
        <v/>
      </c>
    </row>
    <row r="499" spans="1:8" ht="12.75">
      <c r="A499" s="36" t="str">
        <f ca="1">IFERROR(__xludf.DUMMYFUNCTION("""COMPUTED_VALUE"""),"")</f>
        <v/>
      </c>
      <c r="B499" s="37"/>
      <c r="C499" s="54" t="str">
        <f ca="1">IFERROR(__xludf.DUMMYFUNCTION("""COMPUTED_VALUE"""),"")</f>
        <v/>
      </c>
      <c r="D499" s="54" t="str">
        <f ca="1">IFERROR(__xludf.DUMMYFUNCTION("""COMPUTED_VALUE"""),"")</f>
        <v/>
      </c>
      <c r="E499" s="55" t="str">
        <f ca="1">IFERROR(__xludf.DUMMYFUNCTION("""COMPUTED_VALUE"""),"")</f>
        <v/>
      </c>
      <c r="F499" s="54" t="str">
        <f ca="1">IFERROR(__xludf.DUMMYFUNCTION("""COMPUTED_VALUE"""),"")</f>
        <v/>
      </c>
      <c r="G499" s="38" t="str">
        <f ca="1">IFERROR(__xludf.DUMMYFUNCTION("""COMPUTED_VALUE"""),"")</f>
        <v/>
      </c>
      <c r="H499" s="38" t="str">
        <f ca="1">IFERROR(__xludf.DUMMYFUNCTION("""COMPUTED_VALUE"""),"")</f>
        <v/>
      </c>
    </row>
    <row r="500" spans="1:8" ht="12.75">
      <c r="A500" s="36" t="str">
        <f ca="1">IFERROR(__xludf.DUMMYFUNCTION("""COMPUTED_VALUE"""),"")</f>
        <v/>
      </c>
      <c r="B500" s="37"/>
      <c r="C500" s="54" t="str">
        <f ca="1">IFERROR(__xludf.DUMMYFUNCTION("""COMPUTED_VALUE"""),"")</f>
        <v/>
      </c>
      <c r="D500" s="54" t="str">
        <f ca="1">IFERROR(__xludf.DUMMYFUNCTION("""COMPUTED_VALUE"""),"")</f>
        <v/>
      </c>
      <c r="E500" s="55" t="str">
        <f ca="1">IFERROR(__xludf.DUMMYFUNCTION("""COMPUTED_VALUE"""),"")</f>
        <v/>
      </c>
      <c r="F500" s="54" t="str">
        <f ca="1">IFERROR(__xludf.DUMMYFUNCTION("""COMPUTED_VALUE"""),"")</f>
        <v/>
      </c>
      <c r="G500" s="38" t="str">
        <f ca="1">IFERROR(__xludf.DUMMYFUNCTION("""COMPUTED_VALUE"""),"")</f>
        <v/>
      </c>
      <c r="H500" s="38" t="str">
        <f ca="1">IFERROR(__xludf.DUMMYFUNCTION("""COMPUTED_VALUE"""),"")</f>
        <v/>
      </c>
    </row>
    <row r="501" spans="1:8" ht="12.75">
      <c r="A501" s="36" t="str">
        <f ca="1">IFERROR(__xludf.DUMMYFUNCTION("""COMPUTED_VALUE"""),"")</f>
        <v/>
      </c>
      <c r="B501" s="37"/>
      <c r="C501" s="54" t="str">
        <f ca="1">IFERROR(__xludf.DUMMYFUNCTION("""COMPUTED_VALUE"""),"")</f>
        <v/>
      </c>
      <c r="D501" s="54" t="str">
        <f ca="1">IFERROR(__xludf.DUMMYFUNCTION("""COMPUTED_VALUE"""),"")</f>
        <v/>
      </c>
      <c r="E501" s="55" t="str">
        <f ca="1">IFERROR(__xludf.DUMMYFUNCTION("""COMPUTED_VALUE"""),"")</f>
        <v/>
      </c>
      <c r="F501" s="54" t="str">
        <f ca="1">IFERROR(__xludf.DUMMYFUNCTION("""COMPUTED_VALUE"""),"")</f>
        <v/>
      </c>
      <c r="G501" s="38" t="str">
        <f ca="1">IFERROR(__xludf.DUMMYFUNCTION("""COMPUTED_VALUE"""),"")</f>
        <v/>
      </c>
      <c r="H501" s="38" t="str">
        <f ca="1">IFERROR(__xludf.DUMMYFUNCTION("""COMPUTED_VALUE"""),"")</f>
        <v/>
      </c>
    </row>
    <row r="502" spans="1:8" ht="12.75">
      <c r="A502" s="36" t="str">
        <f ca="1">IFERROR(__xludf.DUMMYFUNCTION("""COMPUTED_VALUE"""),"")</f>
        <v/>
      </c>
      <c r="B502" s="37"/>
      <c r="C502" s="54" t="str">
        <f ca="1">IFERROR(__xludf.DUMMYFUNCTION("""COMPUTED_VALUE"""),"")</f>
        <v/>
      </c>
      <c r="D502" s="54" t="str">
        <f ca="1">IFERROR(__xludf.DUMMYFUNCTION("""COMPUTED_VALUE"""),"")</f>
        <v/>
      </c>
      <c r="E502" s="55" t="str">
        <f ca="1">IFERROR(__xludf.DUMMYFUNCTION("""COMPUTED_VALUE"""),"")</f>
        <v/>
      </c>
      <c r="F502" s="54" t="str">
        <f ca="1">IFERROR(__xludf.DUMMYFUNCTION("""COMPUTED_VALUE"""),"")</f>
        <v/>
      </c>
      <c r="G502" s="38" t="str">
        <f ca="1">IFERROR(__xludf.DUMMYFUNCTION("""COMPUTED_VALUE"""),"")</f>
        <v/>
      </c>
      <c r="H502" s="38" t="str">
        <f ca="1">IFERROR(__xludf.DUMMYFUNCTION("""COMPUTED_VALUE"""),"")</f>
        <v/>
      </c>
    </row>
    <row r="503" spans="1:8" ht="12.75">
      <c r="A503" s="36" t="str">
        <f ca="1">IFERROR(__xludf.DUMMYFUNCTION("""COMPUTED_VALUE"""),"")</f>
        <v/>
      </c>
      <c r="B503" s="37"/>
      <c r="C503" s="54" t="str">
        <f ca="1">IFERROR(__xludf.DUMMYFUNCTION("""COMPUTED_VALUE"""),"")</f>
        <v/>
      </c>
      <c r="D503" s="54" t="str">
        <f ca="1">IFERROR(__xludf.DUMMYFUNCTION("""COMPUTED_VALUE"""),"")</f>
        <v/>
      </c>
      <c r="E503" s="55" t="str">
        <f ca="1">IFERROR(__xludf.DUMMYFUNCTION("""COMPUTED_VALUE"""),"")</f>
        <v/>
      </c>
      <c r="F503" s="54" t="str">
        <f ca="1">IFERROR(__xludf.DUMMYFUNCTION("""COMPUTED_VALUE"""),"")</f>
        <v/>
      </c>
      <c r="G503" s="38" t="str">
        <f ca="1">IFERROR(__xludf.DUMMYFUNCTION("""COMPUTED_VALUE"""),"")</f>
        <v/>
      </c>
      <c r="H503" s="38" t="str">
        <f ca="1">IFERROR(__xludf.DUMMYFUNCTION("""COMPUTED_VALUE"""),"")</f>
        <v/>
      </c>
    </row>
    <row r="504" spans="1:8" ht="12.75">
      <c r="A504" s="36" t="str">
        <f ca="1">IFERROR(__xludf.DUMMYFUNCTION("""COMPUTED_VALUE"""),"")</f>
        <v/>
      </c>
      <c r="B504" s="37"/>
      <c r="C504" s="54" t="str">
        <f ca="1">IFERROR(__xludf.DUMMYFUNCTION("""COMPUTED_VALUE"""),"")</f>
        <v/>
      </c>
      <c r="D504" s="54" t="str">
        <f ca="1">IFERROR(__xludf.DUMMYFUNCTION("""COMPUTED_VALUE"""),"")</f>
        <v/>
      </c>
      <c r="E504" s="55" t="str">
        <f ca="1">IFERROR(__xludf.DUMMYFUNCTION("""COMPUTED_VALUE"""),"")</f>
        <v/>
      </c>
      <c r="F504" s="54" t="str">
        <f ca="1">IFERROR(__xludf.DUMMYFUNCTION("""COMPUTED_VALUE"""),"")</f>
        <v/>
      </c>
      <c r="G504" s="38" t="str">
        <f ca="1">IFERROR(__xludf.DUMMYFUNCTION("""COMPUTED_VALUE"""),"")</f>
        <v/>
      </c>
      <c r="H504" s="38" t="str">
        <f ca="1">IFERROR(__xludf.DUMMYFUNCTION("""COMPUTED_VALUE"""),"")</f>
        <v/>
      </c>
    </row>
    <row r="505" spans="1:8" ht="12.75">
      <c r="A505" s="36" t="str">
        <f ca="1">IFERROR(__xludf.DUMMYFUNCTION("""COMPUTED_VALUE"""),"")</f>
        <v/>
      </c>
      <c r="B505" s="37"/>
      <c r="C505" s="54" t="str">
        <f ca="1">IFERROR(__xludf.DUMMYFUNCTION("""COMPUTED_VALUE"""),"")</f>
        <v/>
      </c>
      <c r="D505" s="54" t="str">
        <f ca="1">IFERROR(__xludf.DUMMYFUNCTION("""COMPUTED_VALUE"""),"")</f>
        <v/>
      </c>
      <c r="E505" s="55" t="str">
        <f ca="1">IFERROR(__xludf.DUMMYFUNCTION("""COMPUTED_VALUE"""),"")</f>
        <v/>
      </c>
      <c r="F505" s="54" t="str">
        <f ca="1">IFERROR(__xludf.DUMMYFUNCTION("""COMPUTED_VALUE"""),"")</f>
        <v/>
      </c>
      <c r="G505" s="38" t="str">
        <f ca="1">IFERROR(__xludf.DUMMYFUNCTION("""COMPUTED_VALUE"""),"")</f>
        <v/>
      </c>
      <c r="H505" s="38" t="str">
        <f ca="1">IFERROR(__xludf.DUMMYFUNCTION("""COMPUTED_VALUE"""),"")</f>
        <v/>
      </c>
    </row>
    <row r="506" spans="1:8" ht="12.75">
      <c r="A506" s="36" t="str">
        <f ca="1">IFERROR(__xludf.DUMMYFUNCTION("""COMPUTED_VALUE"""),"")</f>
        <v/>
      </c>
      <c r="B506" s="37"/>
      <c r="C506" s="54" t="str">
        <f ca="1">IFERROR(__xludf.DUMMYFUNCTION("""COMPUTED_VALUE"""),"")</f>
        <v/>
      </c>
      <c r="D506" s="54" t="str">
        <f ca="1">IFERROR(__xludf.DUMMYFUNCTION("""COMPUTED_VALUE"""),"")</f>
        <v/>
      </c>
      <c r="E506" s="55" t="str">
        <f ca="1">IFERROR(__xludf.DUMMYFUNCTION("""COMPUTED_VALUE"""),"")</f>
        <v/>
      </c>
      <c r="F506" s="54" t="str">
        <f ca="1">IFERROR(__xludf.DUMMYFUNCTION("""COMPUTED_VALUE"""),"")</f>
        <v/>
      </c>
      <c r="G506" s="38" t="str">
        <f ca="1">IFERROR(__xludf.DUMMYFUNCTION("""COMPUTED_VALUE"""),"")</f>
        <v/>
      </c>
      <c r="H506" s="38" t="str">
        <f ca="1">IFERROR(__xludf.DUMMYFUNCTION("""COMPUTED_VALUE"""),"")</f>
        <v/>
      </c>
    </row>
    <row r="507" spans="1:8" ht="12.75">
      <c r="A507" s="36" t="str">
        <f ca="1">IFERROR(__xludf.DUMMYFUNCTION("""COMPUTED_VALUE"""),"")</f>
        <v/>
      </c>
      <c r="B507" s="37"/>
      <c r="C507" s="54" t="str">
        <f ca="1">IFERROR(__xludf.DUMMYFUNCTION("""COMPUTED_VALUE"""),"")</f>
        <v/>
      </c>
      <c r="D507" s="54" t="str">
        <f ca="1">IFERROR(__xludf.DUMMYFUNCTION("""COMPUTED_VALUE"""),"")</f>
        <v/>
      </c>
      <c r="E507" s="55" t="str">
        <f ca="1">IFERROR(__xludf.DUMMYFUNCTION("""COMPUTED_VALUE"""),"")</f>
        <v/>
      </c>
      <c r="F507" s="54" t="str">
        <f ca="1">IFERROR(__xludf.DUMMYFUNCTION("""COMPUTED_VALUE"""),"")</f>
        <v/>
      </c>
      <c r="G507" s="38" t="str">
        <f ca="1">IFERROR(__xludf.DUMMYFUNCTION("""COMPUTED_VALUE"""),"")</f>
        <v/>
      </c>
      <c r="H507" s="38" t="str">
        <f ca="1">IFERROR(__xludf.DUMMYFUNCTION("""COMPUTED_VALUE"""),"")</f>
        <v/>
      </c>
    </row>
    <row r="508" spans="1:8" ht="12.75">
      <c r="A508" s="36" t="str">
        <f ca="1">IFERROR(__xludf.DUMMYFUNCTION("""COMPUTED_VALUE"""),"")</f>
        <v/>
      </c>
      <c r="B508" s="37"/>
      <c r="C508" s="54" t="str">
        <f ca="1">IFERROR(__xludf.DUMMYFUNCTION("""COMPUTED_VALUE"""),"")</f>
        <v/>
      </c>
      <c r="D508" s="54" t="str">
        <f ca="1">IFERROR(__xludf.DUMMYFUNCTION("""COMPUTED_VALUE"""),"")</f>
        <v/>
      </c>
      <c r="E508" s="55" t="str">
        <f ca="1">IFERROR(__xludf.DUMMYFUNCTION("""COMPUTED_VALUE"""),"")</f>
        <v/>
      </c>
      <c r="F508" s="54" t="str">
        <f ca="1">IFERROR(__xludf.DUMMYFUNCTION("""COMPUTED_VALUE"""),"")</f>
        <v/>
      </c>
      <c r="G508" s="38" t="str">
        <f ca="1">IFERROR(__xludf.DUMMYFUNCTION("""COMPUTED_VALUE"""),"")</f>
        <v/>
      </c>
      <c r="H508" s="38" t="str">
        <f ca="1">IFERROR(__xludf.DUMMYFUNCTION("""COMPUTED_VALUE"""),"")</f>
        <v/>
      </c>
    </row>
    <row r="509" spans="1:8" ht="12.75">
      <c r="A509" s="36" t="str">
        <f ca="1">IFERROR(__xludf.DUMMYFUNCTION("""COMPUTED_VALUE"""),"")</f>
        <v/>
      </c>
      <c r="B509" s="37"/>
      <c r="C509" s="54" t="str">
        <f ca="1">IFERROR(__xludf.DUMMYFUNCTION("""COMPUTED_VALUE"""),"")</f>
        <v/>
      </c>
      <c r="D509" s="54" t="str">
        <f ca="1">IFERROR(__xludf.DUMMYFUNCTION("""COMPUTED_VALUE"""),"")</f>
        <v/>
      </c>
      <c r="E509" s="55" t="str">
        <f ca="1">IFERROR(__xludf.DUMMYFUNCTION("""COMPUTED_VALUE"""),"")</f>
        <v/>
      </c>
      <c r="F509" s="54" t="str">
        <f ca="1">IFERROR(__xludf.DUMMYFUNCTION("""COMPUTED_VALUE"""),"")</f>
        <v/>
      </c>
      <c r="G509" s="38" t="str">
        <f ca="1">IFERROR(__xludf.DUMMYFUNCTION("""COMPUTED_VALUE"""),"")</f>
        <v/>
      </c>
      <c r="H509" s="38" t="str">
        <f ca="1">IFERROR(__xludf.DUMMYFUNCTION("""COMPUTED_VALUE"""),"")</f>
        <v/>
      </c>
    </row>
    <row r="510" spans="1:8" ht="12.75">
      <c r="A510" s="36" t="str">
        <f ca="1">IFERROR(__xludf.DUMMYFUNCTION("""COMPUTED_VALUE"""),"")</f>
        <v/>
      </c>
      <c r="B510" s="37"/>
      <c r="C510" s="54" t="str">
        <f ca="1">IFERROR(__xludf.DUMMYFUNCTION("""COMPUTED_VALUE"""),"")</f>
        <v/>
      </c>
      <c r="D510" s="54" t="str">
        <f ca="1">IFERROR(__xludf.DUMMYFUNCTION("""COMPUTED_VALUE"""),"")</f>
        <v/>
      </c>
      <c r="E510" s="55" t="str">
        <f ca="1">IFERROR(__xludf.DUMMYFUNCTION("""COMPUTED_VALUE"""),"")</f>
        <v/>
      </c>
      <c r="F510" s="54" t="str">
        <f ca="1">IFERROR(__xludf.DUMMYFUNCTION("""COMPUTED_VALUE"""),"")</f>
        <v/>
      </c>
      <c r="G510" s="38" t="str">
        <f ca="1">IFERROR(__xludf.DUMMYFUNCTION("""COMPUTED_VALUE"""),"")</f>
        <v/>
      </c>
      <c r="H510" s="38" t="str">
        <f ca="1">IFERROR(__xludf.DUMMYFUNCTION("""COMPUTED_VALUE"""),"")</f>
        <v/>
      </c>
    </row>
    <row r="511" spans="1:8" ht="12.75">
      <c r="A511" s="36" t="str">
        <f ca="1">IFERROR(__xludf.DUMMYFUNCTION("""COMPUTED_VALUE"""),"")</f>
        <v/>
      </c>
      <c r="B511" s="37"/>
      <c r="C511" s="54" t="str">
        <f ca="1">IFERROR(__xludf.DUMMYFUNCTION("""COMPUTED_VALUE"""),"")</f>
        <v/>
      </c>
      <c r="D511" s="54" t="str">
        <f ca="1">IFERROR(__xludf.DUMMYFUNCTION("""COMPUTED_VALUE"""),"")</f>
        <v/>
      </c>
      <c r="E511" s="55" t="str">
        <f ca="1">IFERROR(__xludf.DUMMYFUNCTION("""COMPUTED_VALUE"""),"")</f>
        <v/>
      </c>
      <c r="F511" s="54" t="str">
        <f ca="1">IFERROR(__xludf.DUMMYFUNCTION("""COMPUTED_VALUE"""),"")</f>
        <v/>
      </c>
      <c r="G511" s="38" t="str">
        <f ca="1">IFERROR(__xludf.DUMMYFUNCTION("""COMPUTED_VALUE"""),"")</f>
        <v/>
      </c>
      <c r="H511" s="38" t="str">
        <f ca="1">IFERROR(__xludf.DUMMYFUNCTION("""COMPUTED_VALUE"""),"")</f>
        <v/>
      </c>
    </row>
    <row r="512" spans="1:8" ht="12.75">
      <c r="A512" s="36" t="str">
        <f ca="1">IFERROR(__xludf.DUMMYFUNCTION("""COMPUTED_VALUE"""),"")</f>
        <v/>
      </c>
      <c r="B512" s="37"/>
      <c r="C512" s="54" t="str">
        <f ca="1">IFERROR(__xludf.DUMMYFUNCTION("""COMPUTED_VALUE"""),"")</f>
        <v/>
      </c>
      <c r="D512" s="54" t="str">
        <f ca="1">IFERROR(__xludf.DUMMYFUNCTION("""COMPUTED_VALUE"""),"")</f>
        <v/>
      </c>
      <c r="E512" s="55" t="str">
        <f ca="1">IFERROR(__xludf.DUMMYFUNCTION("""COMPUTED_VALUE"""),"")</f>
        <v/>
      </c>
      <c r="F512" s="54" t="str">
        <f ca="1">IFERROR(__xludf.DUMMYFUNCTION("""COMPUTED_VALUE"""),"")</f>
        <v/>
      </c>
      <c r="G512" s="38" t="str">
        <f ca="1">IFERROR(__xludf.DUMMYFUNCTION("""COMPUTED_VALUE"""),"")</f>
        <v/>
      </c>
      <c r="H512" s="38" t="str">
        <f ca="1">IFERROR(__xludf.DUMMYFUNCTION("""COMPUTED_VALUE"""),"")</f>
        <v/>
      </c>
    </row>
    <row r="513" spans="1:8" ht="12.75">
      <c r="A513" s="36" t="str">
        <f ca="1">IFERROR(__xludf.DUMMYFUNCTION("""COMPUTED_VALUE"""),"")</f>
        <v/>
      </c>
      <c r="B513" s="37"/>
      <c r="C513" s="54" t="str">
        <f ca="1">IFERROR(__xludf.DUMMYFUNCTION("""COMPUTED_VALUE"""),"")</f>
        <v/>
      </c>
      <c r="D513" s="54" t="str">
        <f ca="1">IFERROR(__xludf.DUMMYFUNCTION("""COMPUTED_VALUE"""),"")</f>
        <v/>
      </c>
      <c r="E513" s="55" t="str">
        <f ca="1">IFERROR(__xludf.DUMMYFUNCTION("""COMPUTED_VALUE"""),"")</f>
        <v/>
      </c>
      <c r="F513" s="54" t="str">
        <f ca="1">IFERROR(__xludf.DUMMYFUNCTION("""COMPUTED_VALUE"""),"")</f>
        <v/>
      </c>
      <c r="G513" s="38" t="str">
        <f ca="1">IFERROR(__xludf.DUMMYFUNCTION("""COMPUTED_VALUE"""),"")</f>
        <v/>
      </c>
      <c r="H513" s="38" t="str">
        <f ca="1">IFERROR(__xludf.DUMMYFUNCTION("""COMPUTED_VALUE"""),"")</f>
        <v/>
      </c>
    </row>
    <row r="514" spans="1:8" ht="12.75">
      <c r="A514" s="36" t="str">
        <f ca="1">IFERROR(__xludf.DUMMYFUNCTION("""COMPUTED_VALUE"""),"")</f>
        <v/>
      </c>
      <c r="B514" s="37"/>
      <c r="C514" s="54" t="str">
        <f ca="1">IFERROR(__xludf.DUMMYFUNCTION("""COMPUTED_VALUE"""),"")</f>
        <v/>
      </c>
      <c r="D514" s="54" t="str">
        <f ca="1">IFERROR(__xludf.DUMMYFUNCTION("""COMPUTED_VALUE"""),"")</f>
        <v/>
      </c>
      <c r="E514" s="55" t="str">
        <f ca="1">IFERROR(__xludf.DUMMYFUNCTION("""COMPUTED_VALUE"""),"")</f>
        <v/>
      </c>
      <c r="F514" s="54" t="str">
        <f ca="1">IFERROR(__xludf.DUMMYFUNCTION("""COMPUTED_VALUE"""),"")</f>
        <v/>
      </c>
      <c r="G514" s="38" t="str">
        <f ca="1">IFERROR(__xludf.DUMMYFUNCTION("""COMPUTED_VALUE"""),"")</f>
        <v/>
      </c>
      <c r="H514" s="38" t="str">
        <f ca="1">IFERROR(__xludf.DUMMYFUNCTION("""COMPUTED_VALUE"""),"")</f>
        <v/>
      </c>
    </row>
    <row r="515" spans="1:8" ht="12.75">
      <c r="A515" s="36" t="str">
        <f ca="1">IFERROR(__xludf.DUMMYFUNCTION("""COMPUTED_VALUE"""),"")</f>
        <v/>
      </c>
      <c r="B515" s="37"/>
      <c r="C515" s="54" t="str">
        <f ca="1">IFERROR(__xludf.DUMMYFUNCTION("""COMPUTED_VALUE"""),"")</f>
        <v/>
      </c>
      <c r="D515" s="54" t="str">
        <f ca="1">IFERROR(__xludf.DUMMYFUNCTION("""COMPUTED_VALUE"""),"")</f>
        <v/>
      </c>
      <c r="E515" s="55" t="str">
        <f ca="1">IFERROR(__xludf.DUMMYFUNCTION("""COMPUTED_VALUE"""),"")</f>
        <v/>
      </c>
      <c r="F515" s="54" t="str">
        <f ca="1">IFERROR(__xludf.DUMMYFUNCTION("""COMPUTED_VALUE"""),"")</f>
        <v/>
      </c>
      <c r="G515" s="38" t="str">
        <f ca="1">IFERROR(__xludf.DUMMYFUNCTION("""COMPUTED_VALUE"""),"")</f>
        <v/>
      </c>
      <c r="H515" s="38" t="str">
        <f ca="1">IFERROR(__xludf.DUMMYFUNCTION("""COMPUTED_VALUE"""),"")</f>
        <v/>
      </c>
    </row>
    <row r="516" spans="1:8" ht="12.75">
      <c r="A516" s="36" t="str">
        <f ca="1">IFERROR(__xludf.DUMMYFUNCTION("""COMPUTED_VALUE"""),"")</f>
        <v/>
      </c>
      <c r="B516" s="37"/>
      <c r="C516" s="54" t="str">
        <f ca="1">IFERROR(__xludf.DUMMYFUNCTION("""COMPUTED_VALUE"""),"")</f>
        <v/>
      </c>
      <c r="D516" s="54" t="str">
        <f ca="1">IFERROR(__xludf.DUMMYFUNCTION("""COMPUTED_VALUE"""),"")</f>
        <v/>
      </c>
      <c r="E516" s="55" t="str">
        <f ca="1">IFERROR(__xludf.DUMMYFUNCTION("""COMPUTED_VALUE"""),"")</f>
        <v/>
      </c>
      <c r="F516" s="54" t="str">
        <f ca="1">IFERROR(__xludf.DUMMYFUNCTION("""COMPUTED_VALUE"""),"")</f>
        <v/>
      </c>
      <c r="G516" s="38" t="str">
        <f ca="1">IFERROR(__xludf.DUMMYFUNCTION("""COMPUTED_VALUE"""),"")</f>
        <v/>
      </c>
      <c r="H516" s="38" t="str">
        <f ca="1">IFERROR(__xludf.DUMMYFUNCTION("""COMPUTED_VALUE"""),"")</f>
        <v/>
      </c>
    </row>
    <row r="517" spans="1:8" ht="12.75">
      <c r="A517" s="36" t="str">
        <f ca="1">IFERROR(__xludf.DUMMYFUNCTION("""COMPUTED_VALUE"""),"")</f>
        <v/>
      </c>
      <c r="B517" s="37"/>
      <c r="C517" s="54" t="str">
        <f ca="1">IFERROR(__xludf.DUMMYFUNCTION("""COMPUTED_VALUE"""),"")</f>
        <v/>
      </c>
      <c r="D517" s="54" t="str">
        <f ca="1">IFERROR(__xludf.DUMMYFUNCTION("""COMPUTED_VALUE"""),"")</f>
        <v/>
      </c>
      <c r="E517" s="55" t="str">
        <f ca="1">IFERROR(__xludf.DUMMYFUNCTION("""COMPUTED_VALUE"""),"")</f>
        <v/>
      </c>
      <c r="F517" s="54" t="str">
        <f ca="1">IFERROR(__xludf.DUMMYFUNCTION("""COMPUTED_VALUE"""),"")</f>
        <v/>
      </c>
      <c r="G517" s="38" t="str">
        <f ca="1">IFERROR(__xludf.DUMMYFUNCTION("""COMPUTED_VALUE"""),"")</f>
        <v/>
      </c>
      <c r="H517" s="38" t="str">
        <f ca="1">IFERROR(__xludf.DUMMYFUNCTION("""COMPUTED_VALUE"""),"")</f>
        <v/>
      </c>
    </row>
    <row r="518" spans="1:8" ht="12.75">
      <c r="A518" s="36" t="str">
        <f ca="1">IFERROR(__xludf.DUMMYFUNCTION("""COMPUTED_VALUE"""),"")</f>
        <v/>
      </c>
      <c r="B518" s="37"/>
      <c r="C518" s="54" t="str">
        <f ca="1">IFERROR(__xludf.DUMMYFUNCTION("""COMPUTED_VALUE"""),"")</f>
        <v/>
      </c>
      <c r="D518" s="54" t="str">
        <f ca="1">IFERROR(__xludf.DUMMYFUNCTION("""COMPUTED_VALUE"""),"")</f>
        <v/>
      </c>
      <c r="E518" s="55" t="str">
        <f ca="1">IFERROR(__xludf.DUMMYFUNCTION("""COMPUTED_VALUE"""),"")</f>
        <v/>
      </c>
      <c r="F518" s="54" t="str">
        <f ca="1">IFERROR(__xludf.DUMMYFUNCTION("""COMPUTED_VALUE"""),"")</f>
        <v/>
      </c>
      <c r="G518" s="38" t="str">
        <f ca="1">IFERROR(__xludf.DUMMYFUNCTION("""COMPUTED_VALUE"""),"")</f>
        <v/>
      </c>
      <c r="H518" s="38" t="str">
        <f ca="1">IFERROR(__xludf.DUMMYFUNCTION("""COMPUTED_VALUE"""),"")</f>
        <v/>
      </c>
    </row>
    <row r="519" spans="1:8" ht="12.75">
      <c r="A519" s="36" t="str">
        <f ca="1">IFERROR(__xludf.DUMMYFUNCTION("""COMPUTED_VALUE"""),"")</f>
        <v/>
      </c>
      <c r="B519" s="37"/>
      <c r="C519" s="54" t="str">
        <f ca="1">IFERROR(__xludf.DUMMYFUNCTION("""COMPUTED_VALUE"""),"")</f>
        <v/>
      </c>
      <c r="D519" s="54" t="str">
        <f ca="1">IFERROR(__xludf.DUMMYFUNCTION("""COMPUTED_VALUE"""),"")</f>
        <v/>
      </c>
      <c r="E519" s="55" t="str">
        <f ca="1">IFERROR(__xludf.DUMMYFUNCTION("""COMPUTED_VALUE"""),"")</f>
        <v/>
      </c>
      <c r="F519" s="54" t="str">
        <f ca="1">IFERROR(__xludf.DUMMYFUNCTION("""COMPUTED_VALUE"""),"")</f>
        <v/>
      </c>
      <c r="G519" s="38" t="str">
        <f ca="1">IFERROR(__xludf.DUMMYFUNCTION("""COMPUTED_VALUE"""),"")</f>
        <v/>
      </c>
      <c r="H519" s="38" t="str">
        <f ca="1">IFERROR(__xludf.DUMMYFUNCTION("""COMPUTED_VALUE"""),"")</f>
        <v/>
      </c>
    </row>
    <row r="520" spans="1:8" ht="12.75">
      <c r="A520" s="36" t="str">
        <f ca="1">IFERROR(__xludf.DUMMYFUNCTION("""COMPUTED_VALUE"""),"")</f>
        <v/>
      </c>
      <c r="B520" s="37"/>
      <c r="C520" s="54" t="str">
        <f ca="1">IFERROR(__xludf.DUMMYFUNCTION("""COMPUTED_VALUE"""),"")</f>
        <v/>
      </c>
      <c r="D520" s="54" t="str">
        <f ca="1">IFERROR(__xludf.DUMMYFUNCTION("""COMPUTED_VALUE"""),"")</f>
        <v/>
      </c>
      <c r="E520" s="55" t="str">
        <f ca="1">IFERROR(__xludf.DUMMYFUNCTION("""COMPUTED_VALUE"""),"")</f>
        <v/>
      </c>
      <c r="F520" s="54" t="str">
        <f ca="1">IFERROR(__xludf.DUMMYFUNCTION("""COMPUTED_VALUE"""),"")</f>
        <v/>
      </c>
      <c r="G520" s="38" t="str">
        <f ca="1">IFERROR(__xludf.DUMMYFUNCTION("""COMPUTED_VALUE"""),"")</f>
        <v/>
      </c>
      <c r="H520" s="38" t="str">
        <f ca="1">IFERROR(__xludf.DUMMYFUNCTION("""COMPUTED_VALUE"""),"")</f>
        <v/>
      </c>
    </row>
    <row r="521" spans="1:8" ht="12.75">
      <c r="A521" s="36" t="str">
        <f ca="1">IFERROR(__xludf.DUMMYFUNCTION("""COMPUTED_VALUE"""),"")</f>
        <v/>
      </c>
      <c r="B521" s="37"/>
      <c r="C521" s="54" t="str">
        <f ca="1">IFERROR(__xludf.DUMMYFUNCTION("""COMPUTED_VALUE"""),"")</f>
        <v/>
      </c>
      <c r="D521" s="54" t="str">
        <f ca="1">IFERROR(__xludf.DUMMYFUNCTION("""COMPUTED_VALUE"""),"")</f>
        <v/>
      </c>
      <c r="E521" s="55" t="str">
        <f ca="1">IFERROR(__xludf.DUMMYFUNCTION("""COMPUTED_VALUE"""),"")</f>
        <v/>
      </c>
      <c r="F521" s="54" t="str">
        <f ca="1">IFERROR(__xludf.DUMMYFUNCTION("""COMPUTED_VALUE"""),"")</f>
        <v/>
      </c>
      <c r="G521" s="38" t="str">
        <f ca="1">IFERROR(__xludf.DUMMYFUNCTION("""COMPUTED_VALUE"""),"")</f>
        <v/>
      </c>
      <c r="H521" s="38" t="str">
        <f ca="1">IFERROR(__xludf.DUMMYFUNCTION("""COMPUTED_VALUE"""),"")</f>
        <v/>
      </c>
    </row>
    <row r="522" spans="1:8" ht="12.75">
      <c r="A522" s="36" t="str">
        <f ca="1">IFERROR(__xludf.DUMMYFUNCTION("""COMPUTED_VALUE"""),"")</f>
        <v/>
      </c>
      <c r="B522" s="37"/>
      <c r="C522" s="54" t="str">
        <f ca="1">IFERROR(__xludf.DUMMYFUNCTION("""COMPUTED_VALUE"""),"")</f>
        <v/>
      </c>
      <c r="D522" s="54" t="str">
        <f ca="1">IFERROR(__xludf.DUMMYFUNCTION("""COMPUTED_VALUE"""),"")</f>
        <v/>
      </c>
      <c r="E522" s="55" t="str">
        <f ca="1">IFERROR(__xludf.DUMMYFUNCTION("""COMPUTED_VALUE"""),"")</f>
        <v/>
      </c>
      <c r="F522" s="54" t="str">
        <f ca="1">IFERROR(__xludf.DUMMYFUNCTION("""COMPUTED_VALUE"""),"")</f>
        <v/>
      </c>
      <c r="G522" s="38" t="str">
        <f ca="1">IFERROR(__xludf.DUMMYFUNCTION("""COMPUTED_VALUE"""),"")</f>
        <v/>
      </c>
      <c r="H522" s="38" t="str">
        <f ca="1">IFERROR(__xludf.DUMMYFUNCTION("""COMPUTED_VALUE"""),"")</f>
        <v/>
      </c>
    </row>
    <row r="523" spans="1:8" ht="12.75">
      <c r="A523" s="36" t="str">
        <f ca="1">IFERROR(__xludf.DUMMYFUNCTION("""COMPUTED_VALUE"""),"")</f>
        <v/>
      </c>
      <c r="B523" s="37"/>
      <c r="C523" s="54" t="str">
        <f ca="1">IFERROR(__xludf.DUMMYFUNCTION("""COMPUTED_VALUE"""),"")</f>
        <v/>
      </c>
      <c r="D523" s="54" t="str">
        <f ca="1">IFERROR(__xludf.DUMMYFUNCTION("""COMPUTED_VALUE"""),"")</f>
        <v/>
      </c>
      <c r="E523" s="55" t="str">
        <f ca="1">IFERROR(__xludf.DUMMYFUNCTION("""COMPUTED_VALUE"""),"")</f>
        <v/>
      </c>
      <c r="F523" s="54" t="str">
        <f ca="1">IFERROR(__xludf.DUMMYFUNCTION("""COMPUTED_VALUE"""),"")</f>
        <v/>
      </c>
      <c r="G523" s="38" t="str">
        <f ca="1">IFERROR(__xludf.DUMMYFUNCTION("""COMPUTED_VALUE"""),"")</f>
        <v/>
      </c>
      <c r="H523" s="38" t="str">
        <f ca="1">IFERROR(__xludf.DUMMYFUNCTION("""COMPUTED_VALUE"""),"")</f>
        <v/>
      </c>
    </row>
    <row r="524" spans="1:8" ht="12.75">
      <c r="A524" s="36" t="str">
        <f ca="1">IFERROR(__xludf.DUMMYFUNCTION("""COMPUTED_VALUE"""),"")</f>
        <v/>
      </c>
      <c r="B524" s="37"/>
      <c r="C524" s="54" t="str">
        <f ca="1">IFERROR(__xludf.DUMMYFUNCTION("""COMPUTED_VALUE"""),"")</f>
        <v/>
      </c>
      <c r="D524" s="54" t="str">
        <f ca="1">IFERROR(__xludf.DUMMYFUNCTION("""COMPUTED_VALUE"""),"")</f>
        <v/>
      </c>
      <c r="E524" s="55" t="str">
        <f ca="1">IFERROR(__xludf.DUMMYFUNCTION("""COMPUTED_VALUE"""),"")</f>
        <v/>
      </c>
      <c r="F524" s="54" t="str">
        <f ca="1">IFERROR(__xludf.DUMMYFUNCTION("""COMPUTED_VALUE"""),"")</f>
        <v/>
      </c>
      <c r="G524" s="38" t="str">
        <f ca="1">IFERROR(__xludf.DUMMYFUNCTION("""COMPUTED_VALUE"""),"")</f>
        <v/>
      </c>
      <c r="H524" s="38" t="str">
        <f ca="1">IFERROR(__xludf.DUMMYFUNCTION("""COMPUTED_VALUE"""),"")</f>
        <v/>
      </c>
    </row>
    <row r="525" spans="1:8" ht="12.75">
      <c r="A525" s="36" t="str">
        <f ca="1">IFERROR(__xludf.DUMMYFUNCTION("""COMPUTED_VALUE"""),"")</f>
        <v/>
      </c>
      <c r="B525" s="37"/>
      <c r="C525" s="54" t="str">
        <f ca="1">IFERROR(__xludf.DUMMYFUNCTION("""COMPUTED_VALUE"""),"")</f>
        <v/>
      </c>
      <c r="D525" s="54" t="str">
        <f ca="1">IFERROR(__xludf.DUMMYFUNCTION("""COMPUTED_VALUE"""),"")</f>
        <v/>
      </c>
      <c r="E525" s="55" t="str">
        <f ca="1">IFERROR(__xludf.DUMMYFUNCTION("""COMPUTED_VALUE"""),"")</f>
        <v/>
      </c>
      <c r="F525" s="54" t="str">
        <f ca="1">IFERROR(__xludf.DUMMYFUNCTION("""COMPUTED_VALUE"""),"")</f>
        <v/>
      </c>
      <c r="G525" s="38" t="str">
        <f ca="1">IFERROR(__xludf.DUMMYFUNCTION("""COMPUTED_VALUE"""),"")</f>
        <v/>
      </c>
      <c r="H525" s="38" t="str">
        <f ca="1">IFERROR(__xludf.DUMMYFUNCTION("""COMPUTED_VALUE"""),"")</f>
        <v/>
      </c>
    </row>
    <row r="526" spans="1:8" ht="12.75">
      <c r="A526" s="36" t="str">
        <f ca="1">IFERROR(__xludf.DUMMYFUNCTION("""COMPUTED_VALUE"""),"")</f>
        <v/>
      </c>
      <c r="B526" s="37"/>
      <c r="C526" s="54" t="str">
        <f ca="1">IFERROR(__xludf.DUMMYFUNCTION("""COMPUTED_VALUE"""),"")</f>
        <v/>
      </c>
      <c r="D526" s="54" t="str">
        <f ca="1">IFERROR(__xludf.DUMMYFUNCTION("""COMPUTED_VALUE"""),"")</f>
        <v/>
      </c>
      <c r="E526" s="55" t="str">
        <f ca="1">IFERROR(__xludf.DUMMYFUNCTION("""COMPUTED_VALUE"""),"")</f>
        <v/>
      </c>
      <c r="F526" s="54" t="str">
        <f ca="1">IFERROR(__xludf.DUMMYFUNCTION("""COMPUTED_VALUE"""),"")</f>
        <v/>
      </c>
      <c r="G526" s="38" t="str">
        <f ca="1">IFERROR(__xludf.DUMMYFUNCTION("""COMPUTED_VALUE"""),"")</f>
        <v/>
      </c>
      <c r="H526" s="38" t="str">
        <f ca="1">IFERROR(__xludf.DUMMYFUNCTION("""COMPUTED_VALUE"""),"")</f>
        <v/>
      </c>
    </row>
    <row r="527" spans="1:8" ht="12.75">
      <c r="A527" s="36" t="str">
        <f ca="1">IFERROR(__xludf.DUMMYFUNCTION("""COMPUTED_VALUE"""),"")</f>
        <v/>
      </c>
      <c r="B527" s="37"/>
      <c r="C527" s="54" t="str">
        <f ca="1">IFERROR(__xludf.DUMMYFUNCTION("""COMPUTED_VALUE"""),"")</f>
        <v/>
      </c>
      <c r="D527" s="54" t="str">
        <f ca="1">IFERROR(__xludf.DUMMYFUNCTION("""COMPUTED_VALUE"""),"")</f>
        <v/>
      </c>
      <c r="E527" s="55" t="str">
        <f ca="1">IFERROR(__xludf.DUMMYFUNCTION("""COMPUTED_VALUE"""),"")</f>
        <v/>
      </c>
      <c r="F527" s="54" t="str">
        <f ca="1">IFERROR(__xludf.DUMMYFUNCTION("""COMPUTED_VALUE"""),"")</f>
        <v/>
      </c>
      <c r="G527" s="38" t="str">
        <f ca="1">IFERROR(__xludf.DUMMYFUNCTION("""COMPUTED_VALUE"""),"")</f>
        <v/>
      </c>
      <c r="H527" s="38" t="str">
        <f ca="1">IFERROR(__xludf.DUMMYFUNCTION("""COMPUTED_VALUE"""),"")</f>
        <v/>
      </c>
    </row>
    <row r="528" spans="1:8" ht="12.75">
      <c r="A528" s="36" t="str">
        <f ca="1">IFERROR(__xludf.DUMMYFUNCTION("""COMPUTED_VALUE"""),"")</f>
        <v/>
      </c>
      <c r="B528" s="37"/>
      <c r="C528" s="54" t="str">
        <f ca="1">IFERROR(__xludf.DUMMYFUNCTION("""COMPUTED_VALUE"""),"")</f>
        <v/>
      </c>
      <c r="D528" s="54" t="str">
        <f ca="1">IFERROR(__xludf.DUMMYFUNCTION("""COMPUTED_VALUE"""),"")</f>
        <v/>
      </c>
      <c r="E528" s="55" t="str">
        <f ca="1">IFERROR(__xludf.DUMMYFUNCTION("""COMPUTED_VALUE"""),"")</f>
        <v/>
      </c>
      <c r="F528" s="54" t="str">
        <f ca="1">IFERROR(__xludf.DUMMYFUNCTION("""COMPUTED_VALUE"""),"")</f>
        <v/>
      </c>
      <c r="G528" s="38" t="str">
        <f ca="1">IFERROR(__xludf.DUMMYFUNCTION("""COMPUTED_VALUE"""),"")</f>
        <v/>
      </c>
      <c r="H528" s="38" t="str">
        <f ca="1">IFERROR(__xludf.DUMMYFUNCTION("""COMPUTED_VALUE"""),"")</f>
        <v/>
      </c>
    </row>
    <row r="529" spans="1:8" ht="12.75">
      <c r="A529" s="36" t="str">
        <f ca="1">IFERROR(__xludf.DUMMYFUNCTION("""COMPUTED_VALUE"""),"")</f>
        <v/>
      </c>
      <c r="B529" s="37"/>
      <c r="C529" s="54" t="str">
        <f ca="1">IFERROR(__xludf.DUMMYFUNCTION("""COMPUTED_VALUE"""),"")</f>
        <v/>
      </c>
      <c r="D529" s="54" t="str">
        <f ca="1">IFERROR(__xludf.DUMMYFUNCTION("""COMPUTED_VALUE"""),"")</f>
        <v/>
      </c>
      <c r="E529" s="55" t="str">
        <f ca="1">IFERROR(__xludf.DUMMYFUNCTION("""COMPUTED_VALUE"""),"")</f>
        <v/>
      </c>
      <c r="F529" s="54" t="str">
        <f ca="1">IFERROR(__xludf.DUMMYFUNCTION("""COMPUTED_VALUE"""),"")</f>
        <v/>
      </c>
      <c r="G529" s="38" t="str">
        <f ca="1">IFERROR(__xludf.DUMMYFUNCTION("""COMPUTED_VALUE"""),"")</f>
        <v/>
      </c>
      <c r="H529" s="38" t="str">
        <f ca="1">IFERROR(__xludf.DUMMYFUNCTION("""COMPUTED_VALUE"""),"")</f>
        <v/>
      </c>
    </row>
    <row r="530" spans="1:8" ht="12.75">
      <c r="A530" s="36" t="str">
        <f ca="1">IFERROR(__xludf.DUMMYFUNCTION("""COMPUTED_VALUE"""),"")</f>
        <v/>
      </c>
      <c r="B530" s="37"/>
      <c r="C530" s="54" t="str">
        <f ca="1">IFERROR(__xludf.DUMMYFUNCTION("""COMPUTED_VALUE"""),"")</f>
        <v/>
      </c>
      <c r="D530" s="54" t="str">
        <f ca="1">IFERROR(__xludf.DUMMYFUNCTION("""COMPUTED_VALUE"""),"")</f>
        <v/>
      </c>
      <c r="E530" s="55" t="str">
        <f ca="1">IFERROR(__xludf.DUMMYFUNCTION("""COMPUTED_VALUE"""),"")</f>
        <v/>
      </c>
      <c r="F530" s="54" t="str">
        <f ca="1">IFERROR(__xludf.DUMMYFUNCTION("""COMPUTED_VALUE"""),"")</f>
        <v/>
      </c>
      <c r="G530" s="38" t="str">
        <f ca="1">IFERROR(__xludf.DUMMYFUNCTION("""COMPUTED_VALUE"""),"")</f>
        <v/>
      </c>
      <c r="H530" s="38" t="str">
        <f ca="1">IFERROR(__xludf.DUMMYFUNCTION("""COMPUTED_VALUE"""),"")</f>
        <v/>
      </c>
    </row>
    <row r="531" spans="1:8" ht="12.75">
      <c r="A531" s="36" t="str">
        <f ca="1">IFERROR(__xludf.DUMMYFUNCTION("""COMPUTED_VALUE"""),"")</f>
        <v/>
      </c>
      <c r="B531" s="37"/>
      <c r="C531" s="54" t="str">
        <f ca="1">IFERROR(__xludf.DUMMYFUNCTION("""COMPUTED_VALUE"""),"")</f>
        <v/>
      </c>
      <c r="D531" s="54" t="str">
        <f ca="1">IFERROR(__xludf.DUMMYFUNCTION("""COMPUTED_VALUE"""),"")</f>
        <v/>
      </c>
      <c r="E531" s="55" t="str">
        <f ca="1">IFERROR(__xludf.DUMMYFUNCTION("""COMPUTED_VALUE"""),"")</f>
        <v/>
      </c>
      <c r="F531" s="54" t="str">
        <f ca="1">IFERROR(__xludf.DUMMYFUNCTION("""COMPUTED_VALUE"""),"")</f>
        <v/>
      </c>
      <c r="G531" s="38" t="str">
        <f ca="1">IFERROR(__xludf.DUMMYFUNCTION("""COMPUTED_VALUE"""),"")</f>
        <v/>
      </c>
      <c r="H531" s="38" t="str">
        <f ca="1">IFERROR(__xludf.DUMMYFUNCTION("""COMPUTED_VALUE"""),"")</f>
        <v/>
      </c>
    </row>
    <row r="532" spans="1:8" ht="12.75">
      <c r="A532" s="36" t="str">
        <f ca="1">IFERROR(__xludf.DUMMYFUNCTION("""COMPUTED_VALUE"""),"")</f>
        <v/>
      </c>
      <c r="B532" s="37"/>
      <c r="C532" s="54" t="str">
        <f ca="1">IFERROR(__xludf.DUMMYFUNCTION("""COMPUTED_VALUE"""),"")</f>
        <v/>
      </c>
      <c r="D532" s="54" t="str">
        <f ca="1">IFERROR(__xludf.DUMMYFUNCTION("""COMPUTED_VALUE"""),"")</f>
        <v/>
      </c>
      <c r="E532" s="55" t="str">
        <f ca="1">IFERROR(__xludf.DUMMYFUNCTION("""COMPUTED_VALUE"""),"")</f>
        <v/>
      </c>
      <c r="F532" s="54" t="str">
        <f ca="1">IFERROR(__xludf.DUMMYFUNCTION("""COMPUTED_VALUE"""),"")</f>
        <v/>
      </c>
      <c r="G532" s="38" t="str">
        <f ca="1">IFERROR(__xludf.DUMMYFUNCTION("""COMPUTED_VALUE"""),"")</f>
        <v/>
      </c>
      <c r="H532" s="38" t="str">
        <f ca="1">IFERROR(__xludf.DUMMYFUNCTION("""COMPUTED_VALUE"""),"")</f>
        <v/>
      </c>
    </row>
    <row r="533" spans="1:8" ht="12.75">
      <c r="A533" s="36" t="str">
        <f ca="1">IFERROR(__xludf.DUMMYFUNCTION("""COMPUTED_VALUE"""),"")</f>
        <v/>
      </c>
      <c r="B533" s="37"/>
      <c r="C533" s="54" t="str">
        <f ca="1">IFERROR(__xludf.DUMMYFUNCTION("""COMPUTED_VALUE"""),"")</f>
        <v/>
      </c>
      <c r="D533" s="54" t="str">
        <f ca="1">IFERROR(__xludf.DUMMYFUNCTION("""COMPUTED_VALUE"""),"")</f>
        <v/>
      </c>
      <c r="E533" s="55" t="str">
        <f ca="1">IFERROR(__xludf.DUMMYFUNCTION("""COMPUTED_VALUE"""),"")</f>
        <v/>
      </c>
      <c r="F533" s="54" t="str">
        <f ca="1">IFERROR(__xludf.DUMMYFUNCTION("""COMPUTED_VALUE"""),"")</f>
        <v/>
      </c>
      <c r="G533" s="38" t="str">
        <f ca="1">IFERROR(__xludf.DUMMYFUNCTION("""COMPUTED_VALUE"""),"")</f>
        <v/>
      </c>
      <c r="H533" s="38" t="str">
        <f ca="1">IFERROR(__xludf.DUMMYFUNCTION("""COMPUTED_VALUE"""),"")</f>
        <v/>
      </c>
    </row>
    <row r="534" spans="1:8" ht="12.75">
      <c r="A534" s="36" t="str">
        <f ca="1">IFERROR(__xludf.DUMMYFUNCTION("""COMPUTED_VALUE"""),"")</f>
        <v/>
      </c>
      <c r="B534" s="37"/>
      <c r="C534" s="54" t="str">
        <f ca="1">IFERROR(__xludf.DUMMYFUNCTION("""COMPUTED_VALUE"""),"")</f>
        <v/>
      </c>
      <c r="D534" s="54" t="str">
        <f ca="1">IFERROR(__xludf.DUMMYFUNCTION("""COMPUTED_VALUE"""),"")</f>
        <v/>
      </c>
      <c r="E534" s="55" t="str">
        <f ca="1">IFERROR(__xludf.DUMMYFUNCTION("""COMPUTED_VALUE"""),"")</f>
        <v/>
      </c>
      <c r="F534" s="54" t="str">
        <f ca="1">IFERROR(__xludf.DUMMYFUNCTION("""COMPUTED_VALUE"""),"")</f>
        <v/>
      </c>
      <c r="G534" s="38" t="str">
        <f ca="1">IFERROR(__xludf.DUMMYFUNCTION("""COMPUTED_VALUE"""),"")</f>
        <v/>
      </c>
      <c r="H534" s="38" t="str">
        <f ca="1">IFERROR(__xludf.DUMMYFUNCTION("""COMPUTED_VALUE"""),"")</f>
        <v/>
      </c>
    </row>
    <row r="535" spans="1:8" ht="12.75">
      <c r="A535" s="36" t="str">
        <f ca="1">IFERROR(__xludf.DUMMYFUNCTION("""COMPUTED_VALUE"""),"")</f>
        <v/>
      </c>
      <c r="B535" s="37"/>
      <c r="C535" s="54" t="str">
        <f ca="1">IFERROR(__xludf.DUMMYFUNCTION("""COMPUTED_VALUE"""),"")</f>
        <v/>
      </c>
      <c r="D535" s="54" t="str">
        <f ca="1">IFERROR(__xludf.DUMMYFUNCTION("""COMPUTED_VALUE"""),"")</f>
        <v/>
      </c>
      <c r="E535" s="55" t="str">
        <f ca="1">IFERROR(__xludf.DUMMYFUNCTION("""COMPUTED_VALUE"""),"")</f>
        <v/>
      </c>
      <c r="F535" s="54" t="str">
        <f ca="1">IFERROR(__xludf.DUMMYFUNCTION("""COMPUTED_VALUE"""),"")</f>
        <v/>
      </c>
      <c r="G535" s="38" t="str">
        <f ca="1">IFERROR(__xludf.DUMMYFUNCTION("""COMPUTED_VALUE"""),"")</f>
        <v/>
      </c>
      <c r="H535" s="38" t="str">
        <f ca="1">IFERROR(__xludf.DUMMYFUNCTION("""COMPUTED_VALUE"""),"")</f>
        <v/>
      </c>
    </row>
    <row r="536" spans="1:8" ht="12.75">
      <c r="A536" s="36" t="str">
        <f ca="1">IFERROR(__xludf.DUMMYFUNCTION("""COMPUTED_VALUE"""),"")</f>
        <v/>
      </c>
      <c r="B536" s="37"/>
      <c r="C536" s="54" t="str">
        <f ca="1">IFERROR(__xludf.DUMMYFUNCTION("""COMPUTED_VALUE"""),"")</f>
        <v/>
      </c>
      <c r="D536" s="54" t="str">
        <f ca="1">IFERROR(__xludf.DUMMYFUNCTION("""COMPUTED_VALUE"""),"")</f>
        <v/>
      </c>
      <c r="E536" s="55" t="str">
        <f ca="1">IFERROR(__xludf.DUMMYFUNCTION("""COMPUTED_VALUE"""),"")</f>
        <v/>
      </c>
      <c r="F536" s="54" t="str">
        <f ca="1">IFERROR(__xludf.DUMMYFUNCTION("""COMPUTED_VALUE"""),"")</f>
        <v/>
      </c>
      <c r="G536" s="38" t="str">
        <f ca="1">IFERROR(__xludf.DUMMYFUNCTION("""COMPUTED_VALUE"""),"")</f>
        <v/>
      </c>
      <c r="H536" s="38" t="str">
        <f ca="1">IFERROR(__xludf.DUMMYFUNCTION("""COMPUTED_VALUE"""),"")</f>
        <v/>
      </c>
    </row>
    <row r="537" spans="1:8" ht="12.75">
      <c r="A537" s="36" t="str">
        <f ca="1">IFERROR(__xludf.DUMMYFUNCTION("""COMPUTED_VALUE"""),"")</f>
        <v/>
      </c>
      <c r="B537" s="37"/>
      <c r="C537" s="54" t="str">
        <f ca="1">IFERROR(__xludf.DUMMYFUNCTION("""COMPUTED_VALUE"""),"")</f>
        <v/>
      </c>
      <c r="D537" s="54" t="str">
        <f ca="1">IFERROR(__xludf.DUMMYFUNCTION("""COMPUTED_VALUE"""),"")</f>
        <v/>
      </c>
      <c r="E537" s="55" t="str">
        <f ca="1">IFERROR(__xludf.DUMMYFUNCTION("""COMPUTED_VALUE"""),"")</f>
        <v/>
      </c>
      <c r="F537" s="54" t="str">
        <f ca="1">IFERROR(__xludf.DUMMYFUNCTION("""COMPUTED_VALUE"""),"")</f>
        <v/>
      </c>
      <c r="G537" s="38" t="str">
        <f ca="1">IFERROR(__xludf.DUMMYFUNCTION("""COMPUTED_VALUE"""),"")</f>
        <v/>
      </c>
      <c r="H537" s="38" t="str">
        <f ca="1">IFERROR(__xludf.DUMMYFUNCTION("""COMPUTED_VALUE"""),"")</f>
        <v/>
      </c>
    </row>
    <row r="538" spans="1:8" ht="12.75">
      <c r="A538" s="36" t="str">
        <f ca="1">IFERROR(__xludf.DUMMYFUNCTION("""COMPUTED_VALUE"""),"")</f>
        <v/>
      </c>
      <c r="B538" s="37"/>
      <c r="C538" s="54" t="str">
        <f ca="1">IFERROR(__xludf.DUMMYFUNCTION("""COMPUTED_VALUE"""),"")</f>
        <v/>
      </c>
      <c r="D538" s="54" t="str">
        <f ca="1">IFERROR(__xludf.DUMMYFUNCTION("""COMPUTED_VALUE"""),"")</f>
        <v/>
      </c>
      <c r="E538" s="55" t="str">
        <f ca="1">IFERROR(__xludf.DUMMYFUNCTION("""COMPUTED_VALUE"""),"")</f>
        <v/>
      </c>
      <c r="F538" s="54" t="str">
        <f ca="1">IFERROR(__xludf.DUMMYFUNCTION("""COMPUTED_VALUE"""),"")</f>
        <v/>
      </c>
      <c r="G538" s="38" t="str">
        <f ca="1">IFERROR(__xludf.DUMMYFUNCTION("""COMPUTED_VALUE"""),"")</f>
        <v/>
      </c>
      <c r="H538" s="38" t="str">
        <f ca="1">IFERROR(__xludf.DUMMYFUNCTION("""COMPUTED_VALUE"""),"")</f>
        <v/>
      </c>
    </row>
    <row r="539" spans="1:8" ht="12.75">
      <c r="A539" s="36" t="str">
        <f ca="1">IFERROR(__xludf.DUMMYFUNCTION("""COMPUTED_VALUE"""),"")</f>
        <v/>
      </c>
      <c r="B539" s="37"/>
      <c r="C539" s="54" t="str">
        <f ca="1">IFERROR(__xludf.DUMMYFUNCTION("""COMPUTED_VALUE"""),"")</f>
        <v/>
      </c>
      <c r="D539" s="54" t="str">
        <f ca="1">IFERROR(__xludf.DUMMYFUNCTION("""COMPUTED_VALUE"""),"")</f>
        <v/>
      </c>
      <c r="E539" s="55" t="str">
        <f ca="1">IFERROR(__xludf.DUMMYFUNCTION("""COMPUTED_VALUE"""),"")</f>
        <v/>
      </c>
      <c r="F539" s="54" t="str">
        <f ca="1">IFERROR(__xludf.DUMMYFUNCTION("""COMPUTED_VALUE"""),"")</f>
        <v/>
      </c>
      <c r="G539" s="38" t="str">
        <f ca="1">IFERROR(__xludf.DUMMYFUNCTION("""COMPUTED_VALUE"""),"")</f>
        <v/>
      </c>
      <c r="H539" s="38" t="str">
        <f ca="1">IFERROR(__xludf.DUMMYFUNCTION("""COMPUTED_VALUE"""),"")</f>
        <v/>
      </c>
    </row>
    <row r="540" spans="1:8" ht="12.75">
      <c r="A540" s="36" t="str">
        <f ca="1">IFERROR(__xludf.DUMMYFUNCTION("""COMPUTED_VALUE"""),"")</f>
        <v/>
      </c>
      <c r="B540" s="37"/>
      <c r="C540" s="54" t="str">
        <f ca="1">IFERROR(__xludf.DUMMYFUNCTION("""COMPUTED_VALUE"""),"")</f>
        <v/>
      </c>
      <c r="D540" s="54" t="str">
        <f ca="1">IFERROR(__xludf.DUMMYFUNCTION("""COMPUTED_VALUE"""),"")</f>
        <v/>
      </c>
      <c r="E540" s="55" t="str">
        <f ca="1">IFERROR(__xludf.DUMMYFUNCTION("""COMPUTED_VALUE"""),"")</f>
        <v/>
      </c>
      <c r="F540" s="54" t="str">
        <f ca="1">IFERROR(__xludf.DUMMYFUNCTION("""COMPUTED_VALUE"""),"")</f>
        <v/>
      </c>
      <c r="G540" s="38" t="str">
        <f ca="1">IFERROR(__xludf.DUMMYFUNCTION("""COMPUTED_VALUE"""),"")</f>
        <v/>
      </c>
      <c r="H540" s="38" t="str">
        <f ca="1">IFERROR(__xludf.DUMMYFUNCTION("""COMPUTED_VALUE"""),"")</f>
        <v/>
      </c>
    </row>
    <row r="541" spans="1:8" ht="12.75">
      <c r="A541" s="36" t="str">
        <f ca="1">IFERROR(__xludf.DUMMYFUNCTION("""COMPUTED_VALUE"""),"")</f>
        <v/>
      </c>
      <c r="B541" s="37"/>
      <c r="C541" s="54" t="str">
        <f ca="1">IFERROR(__xludf.DUMMYFUNCTION("""COMPUTED_VALUE"""),"")</f>
        <v/>
      </c>
      <c r="D541" s="54" t="str">
        <f ca="1">IFERROR(__xludf.DUMMYFUNCTION("""COMPUTED_VALUE"""),"")</f>
        <v/>
      </c>
      <c r="E541" s="55" t="str">
        <f ca="1">IFERROR(__xludf.DUMMYFUNCTION("""COMPUTED_VALUE"""),"")</f>
        <v/>
      </c>
      <c r="F541" s="54" t="str">
        <f ca="1">IFERROR(__xludf.DUMMYFUNCTION("""COMPUTED_VALUE"""),"")</f>
        <v/>
      </c>
      <c r="G541" s="38" t="str">
        <f ca="1">IFERROR(__xludf.DUMMYFUNCTION("""COMPUTED_VALUE"""),"")</f>
        <v/>
      </c>
      <c r="H541" s="38" t="str">
        <f ca="1">IFERROR(__xludf.DUMMYFUNCTION("""COMPUTED_VALUE"""),"")</f>
        <v/>
      </c>
    </row>
    <row r="542" spans="1:8" ht="12.75">
      <c r="A542" s="36" t="str">
        <f ca="1">IFERROR(__xludf.DUMMYFUNCTION("""COMPUTED_VALUE"""),"")</f>
        <v/>
      </c>
      <c r="B542" s="37"/>
      <c r="C542" s="54" t="str">
        <f ca="1">IFERROR(__xludf.DUMMYFUNCTION("""COMPUTED_VALUE"""),"")</f>
        <v/>
      </c>
      <c r="D542" s="54" t="str">
        <f ca="1">IFERROR(__xludf.DUMMYFUNCTION("""COMPUTED_VALUE"""),"")</f>
        <v/>
      </c>
      <c r="E542" s="55" t="str">
        <f ca="1">IFERROR(__xludf.DUMMYFUNCTION("""COMPUTED_VALUE"""),"")</f>
        <v/>
      </c>
      <c r="F542" s="54" t="str">
        <f ca="1">IFERROR(__xludf.DUMMYFUNCTION("""COMPUTED_VALUE"""),"")</f>
        <v/>
      </c>
      <c r="G542" s="38" t="str">
        <f ca="1">IFERROR(__xludf.DUMMYFUNCTION("""COMPUTED_VALUE"""),"")</f>
        <v/>
      </c>
      <c r="H542" s="38" t="str">
        <f ca="1">IFERROR(__xludf.DUMMYFUNCTION("""COMPUTED_VALUE"""),"")</f>
        <v/>
      </c>
    </row>
    <row r="543" spans="1:8" ht="12.75">
      <c r="A543" s="36" t="str">
        <f ca="1">IFERROR(__xludf.DUMMYFUNCTION("""COMPUTED_VALUE"""),"")</f>
        <v/>
      </c>
      <c r="B543" s="37"/>
      <c r="C543" s="54" t="str">
        <f ca="1">IFERROR(__xludf.DUMMYFUNCTION("""COMPUTED_VALUE"""),"")</f>
        <v/>
      </c>
      <c r="D543" s="54" t="str">
        <f ca="1">IFERROR(__xludf.DUMMYFUNCTION("""COMPUTED_VALUE"""),"")</f>
        <v/>
      </c>
      <c r="E543" s="55" t="str">
        <f ca="1">IFERROR(__xludf.DUMMYFUNCTION("""COMPUTED_VALUE"""),"")</f>
        <v/>
      </c>
      <c r="F543" s="54" t="str">
        <f ca="1">IFERROR(__xludf.DUMMYFUNCTION("""COMPUTED_VALUE"""),"")</f>
        <v/>
      </c>
      <c r="G543" s="38" t="str">
        <f ca="1">IFERROR(__xludf.DUMMYFUNCTION("""COMPUTED_VALUE"""),"")</f>
        <v/>
      </c>
      <c r="H543" s="38" t="str">
        <f ca="1">IFERROR(__xludf.DUMMYFUNCTION("""COMPUTED_VALUE"""),"")</f>
        <v/>
      </c>
    </row>
    <row r="544" spans="1:8" ht="12.75">
      <c r="A544" s="36" t="str">
        <f ca="1">IFERROR(__xludf.DUMMYFUNCTION("""COMPUTED_VALUE"""),"")</f>
        <v/>
      </c>
      <c r="B544" s="37"/>
      <c r="C544" s="54" t="str">
        <f ca="1">IFERROR(__xludf.DUMMYFUNCTION("""COMPUTED_VALUE"""),"")</f>
        <v/>
      </c>
      <c r="D544" s="54" t="str">
        <f ca="1">IFERROR(__xludf.DUMMYFUNCTION("""COMPUTED_VALUE"""),"")</f>
        <v/>
      </c>
      <c r="E544" s="55" t="str">
        <f ca="1">IFERROR(__xludf.DUMMYFUNCTION("""COMPUTED_VALUE"""),"")</f>
        <v/>
      </c>
      <c r="F544" s="54" t="str">
        <f ca="1">IFERROR(__xludf.DUMMYFUNCTION("""COMPUTED_VALUE"""),"")</f>
        <v/>
      </c>
      <c r="G544" s="38" t="str">
        <f ca="1">IFERROR(__xludf.DUMMYFUNCTION("""COMPUTED_VALUE"""),"")</f>
        <v/>
      </c>
      <c r="H544" s="38" t="str">
        <f ca="1">IFERROR(__xludf.DUMMYFUNCTION("""COMPUTED_VALUE"""),"")</f>
        <v/>
      </c>
    </row>
    <row r="545" spans="1:8" ht="12.75">
      <c r="A545" s="36" t="str">
        <f ca="1">IFERROR(__xludf.DUMMYFUNCTION("""COMPUTED_VALUE"""),"")</f>
        <v/>
      </c>
      <c r="B545" s="37"/>
      <c r="C545" s="54" t="str">
        <f ca="1">IFERROR(__xludf.DUMMYFUNCTION("""COMPUTED_VALUE"""),"")</f>
        <v/>
      </c>
      <c r="D545" s="54" t="str">
        <f ca="1">IFERROR(__xludf.DUMMYFUNCTION("""COMPUTED_VALUE"""),"")</f>
        <v/>
      </c>
      <c r="E545" s="55" t="str">
        <f ca="1">IFERROR(__xludf.DUMMYFUNCTION("""COMPUTED_VALUE"""),"")</f>
        <v/>
      </c>
      <c r="F545" s="54" t="str">
        <f ca="1">IFERROR(__xludf.DUMMYFUNCTION("""COMPUTED_VALUE"""),"")</f>
        <v/>
      </c>
      <c r="G545" s="38" t="str">
        <f ca="1">IFERROR(__xludf.DUMMYFUNCTION("""COMPUTED_VALUE"""),"")</f>
        <v/>
      </c>
      <c r="H545" s="38" t="str">
        <f ca="1">IFERROR(__xludf.DUMMYFUNCTION("""COMPUTED_VALUE"""),"")</f>
        <v/>
      </c>
    </row>
    <row r="546" spans="1:8" ht="12.75">
      <c r="A546" s="36" t="str">
        <f ca="1">IFERROR(__xludf.DUMMYFUNCTION("""COMPUTED_VALUE"""),"")</f>
        <v/>
      </c>
      <c r="B546" s="37"/>
      <c r="C546" s="54" t="str">
        <f ca="1">IFERROR(__xludf.DUMMYFUNCTION("""COMPUTED_VALUE"""),"")</f>
        <v/>
      </c>
      <c r="D546" s="54" t="str">
        <f ca="1">IFERROR(__xludf.DUMMYFUNCTION("""COMPUTED_VALUE"""),"")</f>
        <v/>
      </c>
      <c r="E546" s="55" t="str">
        <f ca="1">IFERROR(__xludf.DUMMYFUNCTION("""COMPUTED_VALUE"""),"")</f>
        <v/>
      </c>
      <c r="F546" s="54" t="str">
        <f ca="1">IFERROR(__xludf.DUMMYFUNCTION("""COMPUTED_VALUE"""),"")</f>
        <v/>
      </c>
      <c r="G546" s="38" t="str">
        <f ca="1">IFERROR(__xludf.DUMMYFUNCTION("""COMPUTED_VALUE"""),"")</f>
        <v/>
      </c>
      <c r="H546" s="38" t="str">
        <f ca="1">IFERROR(__xludf.DUMMYFUNCTION("""COMPUTED_VALUE"""),"")</f>
        <v/>
      </c>
    </row>
    <row r="547" spans="1:8" ht="12.75">
      <c r="A547" s="36" t="str">
        <f ca="1">IFERROR(__xludf.DUMMYFUNCTION("""COMPUTED_VALUE"""),"")</f>
        <v/>
      </c>
      <c r="B547" s="37"/>
      <c r="C547" s="54" t="str">
        <f ca="1">IFERROR(__xludf.DUMMYFUNCTION("""COMPUTED_VALUE"""),"")</f>
        <v/>
      </c>
      <c r="D547" s="54" t="str">
        <f ca="1">IFERROR(__xludf.DUMMYFUNCTION("""COMPUTED_VALUE"""),"")</f>
        <v/>
      </c>
      <c r="E547" s="55" t="str">
        <f ca="1">IFERROR(__xludf.DUMMYFUNCTION("""COMPUTED_VALUE"""),"")</f>
        <v/>
      </c>
      <c r="F547" s="54" t="str">
        <f ca="1">IFERROR(__xludf.DUMMYFUNCTION("""COMPUTED_VALUE"""),"")</f>
        <v/>
      </c>
      <c r="G547" s="38" t="str">
        <f ca="1">IFERROR(__xludf.DUMMYFUNCTION("""COMPUTED_VALUE"""),"")</f>
        <v/>
      </c>
      <c r="H547" s="38" t="str">
        <f ca="1">IFERROR(__xludf.DUMMYFUNCTION("""COMPUTED_VALUE"""),"")</f>
        <v/>
      </c>
    </row>
    <row r="548" spans="1:8" ht="12.75">
      <c r="A548" s="36" t="str">
        <f ca="1">IFERROR(__xludf.DUMMYFUNCTION("""COMPUTED_VALUE"""),"")</f>
        <v/>
      </c>
      <c r="B548" s="37"/>
      <c r="C548" s="54" t="str">
        <f ca="1">IFERROR(__xludf.DUMMYFUNCTION("""COMPUTED_VALUE"""),"")</f>
        <v/>
      </c>
      <c r="D548" s="54" t="str">
        <f ca="1">IFERROR(__xludf.DUMMYFUNCTION("""COMPUTED_VALUE"""),"")</f>
        <v/>
      </c>
      <c r="E548" s="55" t="str">
        <f ca="1">IFERROR(__xludf.DUMMYFUNCTION("""COMPUTED_VALUE"""),"")</f>
        <v/>
      </c>
      <c r="F548" s="54" t="str">
        <f ca="1">IFERROR(__xludf.DUMMYFUNCTION("""COMPUTED_VALUE"""),"")</f>
        <v/>
      </c>
      <c r="G548" s="38" t="str">
        <f ca="1">IFERROR(__xludf.DUMMYFUNCTION("""COMPUTED_VALUE"""),"")</f>
        <v/>
      </c>
      <c r="H548" s="38" t="str">
        <f ca="1">IFERROR(__xludf.DUMMYFUNCTION("""COMPUTED_VALUE"""),"")</f>
        <v/>
      </c>
    </row>
    <row r="549" spans="1:8" ht="12.75">
      <c r="A549" s="36" t="str">
        <f ca="1">IFERROR(__xludf.DUMMYFUNCTION("""COMPUTED_VALUE"""),"")</f>
        <v/>
      </c>
      <c r="B549" s="37"/>
      <c r="C549" s="54" t="str">
        <f ca="1">IFERROR(__xludf.DUMMYFUNCTION("""COMPUTED_VALUE"""),"")</f>
        <v/>
      </c>
      <c r="D549" s="54" t="str">
        <f ca="1">IFERROR(__xludf.DUMMYFUNCTION("""COMPUTED_VALUE"""),"")</f>
        <v/>
      </c>
      <c r="E549" s="55" t="str">
        <f ca="1">IFERROR(__xludf.DUMMYFUNCTION("""COMPUTED_VALUE"""),"")</f>
        <v/>
      </c>
      <c r="F549" s="54" t="str">
        <f ca="1">IFERROR(__xludf.DUMMYFUNCTION("""COMPUTED_VALUE"""),"")</f>
        <v/>
      </c>
      <c r="G549" s="38" t="str">
        <f ca="1">IFERROR(__xludf.DUMMYFUNCTION("""COMPUTED_VALUE"""),"")</f>
        <v/>
      </c>
      <c r="H549" s="38" t="str">
        <f ca="1">IFERROR(__xludf.DUMMYFUNCTION("""COMPUTED_VALUE"""),"")</f>
        <v/>
      </c>
    </row>
    <row r="550" spans="1:8" ht="12.75">
      <c r="A550" s="36" t="str">
        <f ca="1">IFERROR(__xludf.DUMMYFUNCTION("""COMPUTED_VALUE"""),"")</f>
        <v/>
      </c>
      <c r="B550" s="37"/>
      <c r="C550" s="54" t="str">
        <f ca="1">IFERROR(__xludf.DUMMYFUNCTION("""COMPUTED_VALUE"""),"")</f>
        <v/>
      </c>
      <c r="D550" s="54" t="str">
        <f ca="1">IFERROR(__xludf.DUMMYFUNCTION("""COMPUTED_VALUE"""),"")</f>
        <v/>
      </c>
      <c r="E550" s="55" t="str">
        <f ca="1">IFERROR(__xludf.DUMMYFUNCTION("""COMPUTED_VALUE"""),"")</f>
        <v/>
      </c>
      <c r="F550" s="54" t="str">
        <f ca="1">IFERROR(__xludf.DUMMYFUNCTION("""COMPUTED_VALUE"""),"")</f>
        <v/>
      </c>
      <c r="G550" s="38" t="str">
        <f ca="1">IFERROR(__xludf.DUMMYFUNCTION("""COMPUTED_VALUE"""),"")</f>
        <v/>
      </c>
      <c r="H550" s="38" t="str">
        <f ca="1">IFERROR(__xludf.DUMMYFUNCTION("""COMPUTED_VALUE"""),"")</f>
        <v/>
      </c>
    </row>
    <row r="551" spans="1:8" ht="12.75">
      <c r="A551" s="36" t="str">
        <f ca="1">IFERROR(__xludf.DUMMYFUNCTION("""COMPUTED_VALUE"""),"")</f>
        <v/>
      </c>
      <c r="B551" s="37"/>
      <c r="C551" s="54" t="str">
        <f ca="1">IFERROR(__xludf.DUMMYFUNCTION("""COMPUTED_VALUE"""),"")</f>
        <v/>
      </c>
      <c r="D551" s="54" t="str">
        <f ca="1">IFERROR(__xludf.DUMMYFUNCTION("""COMPUTED_VALUE"""),"")</f>
        <v/>
      </c>
      <c r="E551" s="55" t="str">
        <f ca="1">IFERROR(__xludf.DUMMYFUNCTION("""COMPUTED_VALUE"""),"")</f>
        <v/>
      </c>
      <c r="F551" s="54" t="str">
        <f ca="1">IFERROR(__xludf.DUMMYFUNCTION("""COMPUTED_VALUE"""),"")</f>
        <v/>
      </c>
      <c r="G551" s="38" t="str">
        <f ca="1">IFERROR(__xludf.DUMMYFUNCTION("""COMPUTED_VALUE"""),"")</f>
        <v/>
      </c>
      <c r="H551" s="38" t="str">
        <f ca="1">IFERROR(__xludf.DUMMYFUNCTION("""COMPUTED_VALUE"""),"")</f>
        <v/>
      </c>
    </row>
    <row r="552" spans="1:8" ht="12.75">
      <c r="A552" s="36" t="str">
        <f ca="1">IFERROR(__xludf.DUMMYFUNCTION("""COMPUTED_VALUE"""),"")</f>
        <v/>
      </c>
      <c r="B552" s="37"/>
      <c r="C552" s="54" t="str">
        <f ca="1">IFERROR(__xludf.DUMMYFUNCTION("""COMPUTED_VALUE"""),"")</f>
        <v/>
      </c>
      <c r="D552" s="54" t="str">
        <f ca="1">IFERROR(__xludf.DUMMYFUNCTION("""COMPUTED_VALUE"""),"")</f>
        <v/>
      </c>
      <c r="E552" s="55" t="str">
        <f ca="1">IFERROR(__xludf.DUMMYFUNCTION("""COMPUTED_VALUE"""),"")</f>
        <v/>
      </c>
      <c r="F552" s="54" t="str">
        <f ca="1">IFERROR(__xludf.DUMMYFUNCTION("""COMPUTED_VALUE"""),"")</f>
        <v/>
      </c>
      <c r="G552" s="38" t="str">
        <f ca="1">IFERROR(__xludf.DUMMYFUNCTION("""COMPUTED_VALUE"""),"")</f>
        <v/>
      </c>
      <c r="H552" s="38" t="str">
        <f ca="1">IFERROR(__xludf.DUMMYFUNCTION("""COMPUTED_VALUE"""),"")</f>
        <v/>
      </c>
    </row>
    <row r="553" spans="1:8" ht="12.75">
      <c r="A553" s="36" t="str">
        <f ca="1">IFERROR(__xludf.DUMMYFUNCTION("""COMPUTED_VALUE"""),"")</f>
        <v/>
      </c>
      <c r="B553" s="37"/>
      <c r="C553" s="54" t="str">
        <f ca="1">IFERROR(__xludf.DUMMYFUNCTION("""COMPUTED_VALUE"""),"")</f>
        <v/>
      </c>
      <c r="D553" s="54" t="str">
        <f ca="1">IFERROR(__xludf.DUMMYFUNCTION("""COMPUTED_VALUE"""),"")</f>
        <v/>
      </c>
      <c r="E553" s="55" t="str">
        <f ca="1">IFERROR(__xludf.DUMMYFUNCTION("""COMPUTED_VALUE"""),"")</f>
        <v/>
      </c>
      <c r="F553" s="54" t="str">
        <f ca="1">IFERROR(__xludf.DUMMYFUNCTION("""COMPUTED_VALUE"""),"")</f>
        <v/>
      </c>
      <c r="G553" s="38" t="str">
        <f ca="1">IFERROR(__xludf.DUMMYFUNCTION("""COMPUTED_VALUE"""),"")</f>
        <v/>
      </c>
      <c r="H553" s="38" t="str">
        <f ca="1">IFERROR(__xludf.DUMMYFUNCTION("""COMPUTED_VALUE"""),"")</f>
        <v/>
      </c>
    </row>
    <row r="554" spans="1:8" ht="12.75">
      <c r="A554" s="36" t="str">
        <f ca="1">IFERROR(__xludf.DUMMYFUNCTION("""COMPUTED_VALUE"""),"")</f>
        <v/>
      </c>
      <c r="B554" s="37"/>
      <c r="C554" s="54" t="str">
        <f ca="1">IFERROR(__xludf.DUMMYFUNCTION("""COMPUTED_VALUE"""),"")</f>
        <v/>
      </c>
      <c r="D554" s="54" t="str">
        <f ca="1">IFERROR(__xludf.DUMMYFUNCTION("""COMPUTED_VALUE"""),"")</f>
        <v/>
      </c>
      <c r="E554" s="55" t="str">
        <f ca="1">IFERROR(__xludf.DUMMYFUNCTION("""COMPUTED_VALUE"""),"")</f>
        <v/>
      </c>
      <c r="F554" s="54" t="str">
        <f ca="1">IFERROR(__xludf.DUMMYFUNCTION("""COMPUTED_VALUE"""),"")</f>
        <v/>
      </c>
      <c r="G554" s="38" t="str">
        <f ca="1">IFERROR(__xludf.DUMMYFUNCTION("""COMPUTED_VALUE"""),"")</f>
        <v/>
      </c>
      <c r="H554" s="38" t="str">
        <f ca="1">IFERROR(__xludf.DUMMYFUNCTION("""COMPUTED_VALUE"""),"")</f>
        <v/>
      </c>
    </row>
    <row r="555" spans="1:8" ht="12.75">
      <c r="A555" s="36" t="str">
        <f ca="1">IFERROR(__xludf.DUMMYFUNCTION("""COMPUTED_VALUE"""),"")</f>
        <v/>
      </c>
      <c r="B555" s="37"/>
      <c r="C555" s="54" t="str">
        <f ca="1">IFERROR(__xludf.DUMMYFUNCTION("""COMPUTED_VALUE"""),"")</f>
        <v/>
      </c>
      <c r="D555" s="54" t="str">
        <f ca="1">IFERROR(__xludf.DUMMYFUNCTION("""COMPUTED_VALUE"""),"")</f>
        <v/>
      </c>
      <c r="E555" s="55" t="str">
        <f ca="1">IFERROR(__xludf.DUMMYFUNCTION("""COMPUTED_VALUE"""),"")</f>
        <v/>
      </c>
      <c r="F555" s="54" t="str">
        <f ca="1">IFERROR(__xludf.DUMMYFUNCTION("""COMPUTED_VALUE"""),"")</f>
        <v/>
      </c>
      <c r="G555" s="38" t="str">
        <f ca="1">IFERROR(__xludf.DUMMYFUNCTION("""COMPUTED_VALUE"""),"")</f>
        <v/>
      </c>
      <c r="H555" s="38" t="str">
        <f ca="1">IFERROR(__xludf.DUMMYFUNCTION("""COMPUTED_VALUE"""),"")</f>
        <v/>
      </c>
    </row>
    <row r="556" spans="1:8" ht="12.75">
      <c r="A556" s="36" t="str">
        <f ca="1">IFERROR(__xludf.DUMMYFUNCTION("""COMPUTED_VALUE"""),"")</f>
        <v/>
      </c>
      <c r="B556" s="37"/>
      <c r="C556" s="54" t="str">
        <f ca="1">IFERROR(__xludf.DUMMYFUNCTION("""COMPUTED_VALUE"""),"")</f>
        <v/>
      </c>
      <c r="D556" s="54" t="str">
        <f ca="1">IFERROR(__xludf.DUMMYFUNCTION("""COMPUTED_VALUE"""),"")</f>
        <v/>
      </c>
      <c r="E556" s="55" t="str">
        <f ca="1">IFERROR(__xludf.DUMMYFUNCTION("""COMPUTED_VALUE"""),"")</f>
        <v/>
      </c>
      <c r="F556" s="54" t="str">
        <f ca="1">IFERROR(__xludf.DUMMYFUNCTION("""COMPUTED_VALUE"""),"")</f>
        <v/>
      </c>
      <c r="G556" s="38" t="str">
        <f ca="1">IFERROR(__xludf.DUMMYFUNCTION("""COMPUTED_VALUE"""),"")</f>
        <v/>
      </c>
      <c r="H556" s="38" t="str">
        <f ca="1">IFERROR(__xludf.DUMMYFUNCTION("""COMPUTED_VALUE"""),"")</f>
        <v/>
      </c>
    </row>
    <row r="557" spans="1:8" ht="12.75">
      <c r="A557" s="36" t="str">
        <f ca="1">IFERROR(__xludf.DUMMYFUNCTION("""COMPUTED_VALUE"""),"")</f>
        <v/>
      </c>
      <c r="B557" s="37"/>
      <c r="C557" s="54" t="str">
        <f ca="1">IFERROR(__xludf.DUMMYFUNCTION("""COMPUTED_VALUE"""),"")</f>
        <v/>
      </c>
      <c r="D557" s="54" t="str">
        <f ca="1">IFERROR(__xludf.DUMMYFUNCTION("""COMPUTED_VALUE"""),"")</f>
        <v/>
      </c>
      <c r="E557" s="55" t="str">
        <f ca="1">IFERROR(__xludf.DUMMYFUNCTION("""COMPUTED_VALUE"""),"")</f>
        <v/>
      </c>
      <c r="F557" s="54" t="str">
        <f ca="1">IFERROR(__xludf.DUMMYFUNCTION("""COMPUTED_VALUE"""),"")</f>
        <v/>
      </c>
      <c r="G557" s="38" t="str">
        <f ca="1">IFERROR(__xludf.DUMMYFUNCTION("""COMPUTED_VALUE"""),"")</f>
        <v/>
      </c>
      <c r="H557" s="38" t="str">
        <f ca="1">IFERROR(__xludf.DUMMYFUNCTION("""COMPUTED_VALUE"""),"")</f>
        <v/>
      </c>
    </row>
    <row r="558" spans="1:8" ht="12.75">
      <c r="A558" s="36" t="str">
        <f ca="1">IFERROR(__xludf.DUMMYFUNCTION("""COMPUTED_VALUE"""),"")</f>
        <v/>
      </c>
      <c r="B558" s="37"/>
      <c r="C558" s="54" t="str">
        <f ca="1">IFERROR(__xludf.DUMMYFUNCTION("""COMPUTED_VALUE"""),"")</f>
        <v/>
      </c>
      <c r="D558" s="54" t="str">
        <f ca="1">IFERROR(__xludf.DUMMYFUNCTION("""COMPUTED_VALUE"""),"")</f>
        <v/>
      </c>
      <c r="E558" s="55" t="str">
        <f ca="1">IFERROR(__xludf.DUMMYFUNCTION("""COMPUTED_VALUE"""),"")</f>
        <v/>
      </c>
      <c r="F558" s="54" t="str">
        <f ca="1">IFERROR(__xludf.DUMMYFUNCTION("""COMPUTED_VALUE"""),"")</f>
        <v/>
      </c>
      <c r="G558" s="38" t="str">
        <f ca="1">IFERROR(__xludf.DUMMYFUNCTION("""COMPUTED_VALUE"""),"")</f>
        <v/>
      </c>
      <c r="H558" s="38" t="str">
        <f ca="1">IFERROR(__xludf.DUMMYFUNCTION("""COMPUTED_VALUE"""),"")</f>
        <v/>
      </c>
    </row>
    <row r="559" spans="1:8" ht="12.75">
      <c r="A559" s="36" t="str">
        <f ca="1">IFERROR(__xludf.DUMMYFUNCTION("""COMPUTED_VALUE"""),"")</f>
        <v/>
      </c>
      <c r="B559" s="37"/>
      <c r="C559" s="54" t="str">
        <f ca="1">IFERROR(__xludf.DUMMYFUNCTION("""COMPUTED_VALUE"""),"")</f>
        <v/>
      </c>
      <c r="D559" s="54" t="str">
        <f ca="1">IFERROR(__xludf.DUMMYFUNCTION("""COMPUTED_VALUE"""),"")</f>
        <v/>
      </c>
      <c r="E559" s="55" t="str">
        <f ca="1">IFERROR(__xludf.DUMMYFUNCTION("""COMPUTED_VALUE"""),"")</f>
        <v/>
      </c>
      <c r="F559" s="54" t="str">
        <f ca="1">IFERROR(__xludf.DUMMYFUNCTION("""COMPUTED_VALUE"""),"")</f>
        <v/>
      </c>
      <c r="G559" s="38" t="str">
        <f ca="1">IFERROR(__xludf.DUMMYFUNCTION("""COMPUTED_VALUE"""),"")</f>
        <v/>
      </c>
      <c r="H559" s="38" t="str">
        <f ca="1">IFERROR(__xludf.DUMMYFUNCTION("""COMPUTED_VALUE"""),"")</f>
        <v/>
      </c>
    </row>
    <row r="560" spans="1:8" ht="12.75">
      <c r="A560" s="36" t="str">
        <f ca="1">IFERROR(__xludf.DUMMYFUNCTION("""COMPUTED_VALUE"""),"")</f>
        <v/>
      </c>
      <c r="B560" s="37"/>
      <c r="C560" s="54" t="str">
        <f ca="1">IFERROR(__xludf.DUMMYFUNCTION("""COMPUTED_VALUE"""),"")</f>
        <v/>
      </c>
      <c r="D560" s="54" t="str">
        <f ca="1">IFERROR(__xludf.DUMMYFUNCTION("""COMPUTED_VALUE"""),"")</f>
        <v/>
      </c>
      <c r="E560" s="55" t="str">
        <f ca="1">IFERROR(__xludf.DUMMYFUNCTION("""COMPUTED_VALUE"""),"")</f>
        <v/>
      </c>
      <c r="F560" s="54" t="str">
        <f ca="1">IFERROR(__xludf.DUMMYFUNCTION("""COMPUTED_VALUE"""),"")</f>
        <v/>
      </c>
      <c r="G560" s="38" t="str">
        <f ca="1">IFERROR(__xludf.DUMMYFUNCTION("""COMPUTED_VALUE"""),"")</f>
        <v/>
      </c>
      <c r="H560" s="38" t="str">
        <f ca="1">IFERROR(__xludf.DUMMYFUNCTION("""COMPUTED_VALUE"""),"")</f>
        <v/>
      </c>
    </row>
    <row r="561" spans="1:8" ht="12.75">
      <c r="A561" s="36" t="str">
        <f ca="1">IFERROR(__xludf.DUMMYFUNCTION("""COMPUTED_VALUE"""),"")</f>
        <v/>
      </c>
      <c r="B561" s="37"/>
      <c r="C561" s="54" t="str">
        <f ca="1">IFERROR(__xludf.DUMMYFUNCTION("""COMPUTED_VALUE"""),"")</f>
        <v/>
      </c>
      <c r="D561" s="54" t="str">
        <f ca="1">IFERROR(__xludf.DUMMYFUNCTION("""COMPUTED_VALUE"""),"")</f>
        <v/>
      </c>
      <c r="E561" s="55" t="str">
        <f ca="1">IFERROR(__xludf.DUMMYFUNCTION("""COMPUTED_VALUE"""),"")</f>
        <v/>
      </c>
      <c r="F561" s="54" t="str">
        <f ca="1">IFERROR(__xludf.DUMMYFUNCTION("""COMPUTED_VALUE"""),"")</f>
        <v/>
      </c>
      <c r="G561" s="38" t="str">
        <f ca="1">IFERROR(__xludf.DUMMYFUNCTION("""COMPUTED_VALUE"""),"")</f>
        <v/>
      </c>
      <c r="H561" s="38" t="str">
        <f ca="1">IFERROR(__xludf.DUMMYFUNCTION("""COMPUTED_VALUE"""),"")</f>
        <v/>
      </c>
    </row>
    <row r="562" spans="1:8" ht="12.75">
      <c r="A562" s="36" t="str">
        <f ca="1">IFERROR(__xludf.DUMMYFUNCTION("""COMPUTED_VALUE"""),"")</f>
        <v/>
      </c>
      <c r="B562" s="37"/>
      <c r="C562" s="54" t="str">
        <f ca="1">IFERROR(__xludf.DUMMYFUNCTION("""COMPUTED_VALUE"""),"")</f>
        <v/>
      </c>
      <c r="D562" s="54" t="str">
        <f ca="1">IFERROR(__xludf.DUMMYFUNCTION("""COMPUTED_VALUE"""),"")</f>
        <v/>
      </c>
      <c r="E562" s="55" t="str">
        <f ca="1">IFERROR(__xludf.DUMMYFUNCTION("""COMPUTED_VALUE"""),"")</f>
        <v/>
      </c>
      <c r="F562" s="54" t="str">
        <f ca="1">IFERROR(__xludf.DUMMYFUNCTION("""COMPUTED_VALUE"""),"")</f>
        <v/>
      </c>
      <c r="G562" s="38" t="str">
        <f ca="1">IFERROR(__xludf.DUMMYFUNCTION("""COMPUTED_VALUE"""),"")</f>
        <v/>
      </c>
      <c r="H562" s="38" t="str">
        <f ca="1">IFERROR(__xludf.DUMMYFUNCTION("""COMPUTED_VALUE"""),"")</f>
        <v/>
      </c>
    </row>
    <row r="563" spans="1:8" ht="12.75">
      <c r="A563" s="36" t="str">
        <f ca="1">IFERROR(__xludf.DUMMYFUNCTION("""COMPUTED_VALUE"""),"")</f>
        <v/>
      </c>
      <c r="B563" s="37"/>
      <c r="C563" s="54" t="str">
        <f ca="1">IFERROR(__xludf.DUMMYFUNCTION("""COMPUTED_VALUE"""),"")</f>
        <v/>
      </c>
      <c r="D563" s="54" t="str">
        <f ca="1">IFERROR(__xludf.DUMMYFUNCTION("""COMPUTED_VALUE"""),"")</f>
        <v/>
      </c>
      <c r="E563" s="55" t="str">
        <f ca="1">IFERROR(__xludf.DUMMYFUNCTION("""COMPUTED_VALUE"""),"")</f>
        <v/>
      </c>
      <c r="F563" s="54" t="str">
        <f ca="1">IFERROR(__xludf.DUMMYFUNCTION("""COMPUTED_VALUE"""),"")</f>
        <v/>
      </c>
      <c r="G563" s="38" t="str">
        <f ca="1">IFERROR(__xludf.DUMMYFUNCTION("""COMPUTED_VALUE"""),"")</f>
        <v/>
      </c>
      <c r="H563" s="38" t="str">
        <f ca="1">IFERROR(__xludf.DUMMYFUNCTION("""COMPUTED_VALUE"""),"")</f>
        <v/>
      </c>
    </row>
    <row r="564" spans="1:8" ht="12.75">
      <c r="A564" s="36" t="str">
        <f ca="1">IFERROR(__xludf.DUMMYFUNCTION("""COMPUTED_VALUE"""),"")</f>
        <v/>
      </c>
      <c r="B564" s="37"/>
      <c r="C564" s="54" t="str">
        <f ca="1">IFERROR(__xludf.DUMMYFUNCTION("""COMPUTED_VALUE"""),"")</f>
        <v/>
      </c>
      <c r="D564" s="54" t="str">
        <f ca="1">IFERROR(__xludf.DUMMYFUNCTION("""COMPUTED_VALUE"""),"")</f>
        <v/>
      </c>
      <c r="E564" s="55" t="str">
        <f ca="1">IFERROR(__xludf.DUMMYFUNCTION("""COMPUTED_VALUE"""),"")</f>
        <v/>
      </c>
      <c r="F564" s="54" t="str">
        <f ca="1">IFERROR(__xludf.DUMMYFUNCTION("""COMPUTED_VALUE"""),"")</f>
        <v/>
      </c>
      <c r="G564" s="38" t="str">
        <f ca="1">IFERROR(__xludf.DUMMYFUNCTION("""COMPUTED_VALUE"""),"")</f>
        <v/>
      </c>
      <c r="H564" s="38" t="str">
        <f ca="1">IFERROR(__xludf.DUMMYFUNCTION("""COMPUTED_VALUE"""),"")</f>
        <v/>
      </c>
    </row>
    <row r="565" spans="1:8" ht="12.75">
      <c r="A565" s="36" t="str">
        <f ca="1">IFERROR(__xludf.DUMMYFUNCTION("""COMPUTED_VALUE"""),"")</f>
        <v/>
      </c>
      <c r="B565" s="37"/>
      <c r="C565" s="54" t="str">
        <f ca="1">IFERROR(__xludf.DUMMYFUNCTION("""COMPUTED_VALUE"""),"")</f>
        <v/>
      </c>
      <c r="D565" s="54" t="str">
        <f ca="1">IFERROR(__xludf.DUMMYFUNCTION("""COMPUTED_VALUE"""),"")</f>
        <v/>
      </c>
      <c r="E565" s="55" t="str">
        <f ca="1">IFERROR(__xludf.DUMMYFUNCTION("""COMPUTED_VALUE"""),"")</f>
        <v/>
      </c>
      <c r="F565" s="54" t="str">
        <f ca="1">IFERROR(__xludf.DUMMYFUNCTION("""COMPUTED_VALUE"""),"")</f>
        <v/>
      </c>
      <c r="G565" s="38" t="str">
        <f ca="1">IFERROR(__xludf.DUMMYFUNCTION("""COMPUTED_VALUE"""),"")</f>
        <v/>
      </c>
      <c r="H565" s="38" t="str">
        <f ca="1">IFERROR(__xludf.DUMMYFUNCTION("""COMPUTED_VALUE"""),"")</f>
        <v/>
      </c>
    </row>
    <row r="566" spans="1:8" ht="12.75">
      <c r="A566" s="36" t="str">
        <f ca="1">IFERROR(__xludf.DUMMYFUNCTION("""COMPUTED_VALUE"""),"")</f>
        <v/>
      </c>
      <c r="B566" s="37"/>
      <c r="C566" s="54" t="str">
        <f ca="1">IFERROR(__xludf.DUMMYFUNCTION("""COMPUTED_VALUE"""),"")</f>
        <v/>
      </c>
      <c r="D566" s="54" t="str">
        <f ca="1">IFERROR(__xludf.DUMMYFUNCTION("""COMPUTED_VALUE"""),"")</f>
        <v/>
      </c>
      <c r="E566" s="55" t="str">
        <f ca="1">IFERROR(__xludf.DUMMYFUNCTION("""COMPUTED_VALUE"""),"")</f>
        <v/>
      </c>
      <c r="F566" s="54" t="str">
        <f ca="1">IFERROR(__xludf.DUMMYFUNCTION("""COMPUTED_VALUE"""),"")</f>
        <v/>
      </c>
      <c r="G566" s="38" t="str">
        <f ca="1">IFERROR(__xludf.DUMMYFUNCTION("""COMPUTED_VALUE"""),"")</f>
        <v/>
      </c>
      <c r="H566" s="38" t="str">
        <f ca="1">IFERROR(__xludf.DUMMYFUNCTION("""COMPUTED_VALUE"""),"")</f>
        <v/>
      </c>
    </row>
    <row r="567" spans="1:8" ht="12.75">
      <c r="A567" s="36" t="str">
        <f ca="1">IFERROR(__xludf.DUMMYFUNCTION("""COMPUTED_VALUE"""),"")</f>
        <v/>
      </c>
      <c r="B567" s="37"/>
      <c r="C567" s="54" t="str">
        <f ca="1">IFERROR(__xludf.DUMMYFUNCTION("""COMPUTED_VALUE"""),"")</f>
        <v/>
      </c>
      <c r="D567" s="54" t="str">
        <f ca="1">IFERROR(__xludf.DUMMYFUNCTION("""COMPUTED_VALUE"""),"")</f>
        <v/>
      </c>
      <c r="E567" s="55" t="str">
        <f ca="1">IFERROR(__xludf.DUMMYFUNCTION("""COMPUTED_VALUE"""),"")</f>
        <v/>
      </c>
      <c r="F567" s="54" t="str">
        <f ca="1">IFERROR(__xludf.DUMMYFUNCTION("""COMPUTED_VALUE"""),"")</f>
        <v/>
      </c>
      <c r="G567" s="38" t="str">
        <f ca="1">IFERROR(__xludf.DUMMYFUNCTION("""COMPUTED_VALUE"""),"")</f>
        <v/>
      </c>
      <c r="H567" s="38" t="str">
        <f ca="1">IFERROR(__xludf.DUMMYFUNCTION("""COMPUTED_VALUE"""),"")</f>
        <v/>
      </c>
    </row>
    <row r="568" spans="1:8" ht="12.75">
      <c r="A568" s="36" t="str">
        <f ca="1">IFERROR(__xludf.DUMMYFUNCTION("""COMPUTED_VALUE"""),"")</f>
        <v/>
      </c>
      <c r="B568" s="37"/>
      <c r="C568" s="54" t="str">
        <f ca="1">IFERROR(__xludf.DUMMYFUNCTION("""COMPUTED_VALUE"""),"")</f>
        <v/>
      </c>
      <c r="D568" s="54" t="str">
        <f ca="1">IFERROR(__xludf.DUMMYFUNCTION("""COMPUTED_VALUE"""),"")</f>
        <v/>
      </c>
      <c r="E568" s="55" t="str">
        <f ca="1">IFERROR(__xludf.DUMMYFUNCTION("""COMPUTED_VALUE"""),"")</f>
        <v/>
      </c>
      <c r="F568" s="54" t="str">
        <f ca="1">IFERROR(__xludf.DUMMYFUNCTION("""COMPUTED_VALUE"""),"")</f>
        <v/>
      </c>
      <c r="G568" s="38" t="str">
        <f ca="1">IFERROR(__xludf.DUMMYFUNCTION("""COMPUTED_VALUE"""),"")</f>
        <v/>
      </c>
      <c r="H568" s="38" t="str">
        <f ca="1">IFERROR(__xludf.DUMMYFUNCTION("""COMPUTED_VALUE"""),"")</f>
        <v/>
      </c>
    </row>
    <row r="569" spans="1:8" ht="12.75">
      <c r="A569" s="36" t="str">
        <f ca="1">IFERROR(__xludf.DUMMYFUNCTION("""COMPUTED_VALUE"""),"")</f>
        <v/>
      </c>
      <c r="B569" s="37"/>
      <c r="C569" s="54" t="str">
        <f ca="1">IFERROR(__xludf.DUMMYFUNCTION("""COMPUTED_VALUE"""),"")</f>
        <v/>
      </c>
      <c r="D569" s="54" t="str">
        <f ca="1">IFERROR(__xludf.DUMMYFUNCTION("""COMPUTED_VALUE"""),"")</f>
        <v/>
      </c>
      <c r="E569" s="55" t="str">
        <f ca="1">IFERROR(__xludf.DUMMYFUNCTION("""COMPUTED_VALUE"""),"")</f>
        <v/>
      </c>
      <c r="F569" s="54" t="str">
        <f ca="1">IFERROR(__xludf.DUMMYFUNCTION("""COMPUTED_VALUE"""),"")</f>
        <v/>
      </c>
      <c r="G569" s="38" t="str">
        <f ca="1">IFERROR(__xludf.DUMMYFUNCTION("""COMPUTED_VALUE"""),"")</f>
        <v/>
      </c>
      <c r="H569" s="38" t="str">
        <f ca="1">IFERROR(__xludf.DUMMYFUNCTION("""COMPUTED_VALUE"""),"")</f>
        <v/>
      </c>
    </row>
    <row r="570" spans="1:8" ht="12.75">
      <c r="A570" s="36" t="str">
        <f ca="1">IFERROR(__xludf.DUMMYFUNCTION("""COMPUTED_VALUE"""),"")</f>
        <v/>
      </c>
      <c r="B570" s="37"/>
      <c r="C570" s="54" t="str">
        <f ca="1">IFERROR(__xludf.DUMMYFUNCTION("""COMPUTED_VALUE"""),"")</f>
        <v/>
      </c>
      <c r="D570" s="54" t="str">
        <f ca="1">IFERROR(__xludf.DUMMYFUNCTION("""COMPUTED_VALUE"""),"")</f>
        <v/>
      </c>
      <c r="E570" s="55" t="str">
        <f ca="1">IFERROR(__xludf.DUMMYFUNCTION("""COMPUTED_VALUE"""),"")</f>
        <v/>
      </c>
      <c r="F570" s="54" t="str">
        <f ca="1">IFERROR(__xludf.DUMMYFUNCTION("""COMPUTED_VALUE"""),"")</f>
        <v/>
      </c>
      <c r="G570" s="38" t="str">
        <f ca="1">IFERROR(__xludf.DUMMYFUNCTION("""COMPUTED_VALUE"""),"")</f>
        <v/>
      </c>
      <c r="H570" s="38" t="str">
        <f ca="1">IFERROR(__xludf.DUMMYFUNCTION("""COMPUTED_VALUE"""),"")</f>
        <v/>
      </c>
    </row>
    <row r="571" spans="1:8" ht="12.75">
      <c r="A571" s="36" t="str">
        <f ca="1">IFERROR(__xludf.DUMMYFUNCTION("""COMPUTED_VALUE"""),"")</f>
        <v/>
      </c>
      <c r="B571" s="37"/>
      <c r="C571" s="54" t="str">
        <f ca="1">IFERROR(__xludf.DUMMYFUNCTION("""COMPUTED_VALUE"""),"")</f>
        <v/>
      </c>
      <c r="D571" s="54" t="str">
        <f ca="1">IFERROR(__xludf.DUMMYFUNCTION("""COMPUTED_VALUE"""),"")</f>
        <v/>
      </c>
      <c r="E571" s="55" t="str">
        <f ca="1">IFERROR(__xludf.DUMMYFUNCTION("""COMPUTED_VALUE"""),"")</f>
        <v/>
      </c>
      <c r="F571" s="54" t="str">
        <f ca="1">IFERROR(__xludf.DUMMYFUNCTION("""COMPUTED_VALUE"""),"")</f>
        <v/>
      </c>
      <c r="G571" s="38" t="str">
        <f ca="1">IFERROR(__xludf.DUMMYFUNCTION("""COMPUTED_VALUE"""),"")</f>
        <v/>
      </c>
      <c r="H571" s="38" t="str">
        <f ca="1">IFERROR(__xludf.DUMMYFUNCTION("""COMPUTED_VALUE"""),"")</f>
        <v/>
      </c>
    </row>
    <row r="572" spans="1:8" ht="12.75">
      <c r="A572" s="36" t="str">
        <f ca="1">IFERROR(__xludf.DUMMYFUNCTION("""COMPUTED_VALUE"""),"")</f>
        <v/>
      </c>
      <c r="B572" s="37"/>
      <c r="C572" s="54" t="str">
        <f ca="1">IFERROR(__xludf.DUMMYFUNCTION("""COMPUTED_VALUE"""),"")</f>
        <v/>
      </c>
      <c r="D572" s="54" t="str">
        <f ca="1">IFERROR(__xludf.DUMMYFUNCTION("""COMPUTED_VALUE"""),"")</f>
        <v/>
      </c>
      <c r="E572" s="55" t="str">
        <f ca="1">IFERROR(__xludf.DUMMYFUNCTION("""COMPUTED_VALUE"""),"")</f>
        <v/>
      </c>
      <c r="F572" s="54" t="str">
        <f ca="1">IFERROR(__xludf.DUMMYFUNCTION("""COMPUTED_VALUE"""),"")</f>
        <v/>
      </c>
      <c r="G572" s="38" t="str">
        <f ca="1">IFERROR(__xludf.DUMMYFUNCTION("""COMPUTED_VALUE"""),"")</f>
        <v/>
      </c>
      <c r="H572" s="38" t="str">
        <f ca="1">IFERROR(__xludf.DUMMYFUNCTION("""COMPUTED_VALUE"""),"")</f>
        <v/>
      </c>
    </row>
    <row r="573" spans="1:8" ht="12.75">
      <c r="A573" s="36" t="str">
        <f ca="1">IFERROR(__xludf.DUMMYFUNCTION("""COMPUTED_VALUE"""),"")</f>
        <v/>
      </c>
      <c r="B573" s="37"/>
      <c r="C573" s="54" t="str">
        <f ca="1">IFERROR(__xludf.DUMMYFUNCTION("""COMPUTED_VALUE"""),"")</f>
        <v/>
      </c>
      <c r="D573" s="54" t="str">
        <f ca="1">IFERROR(__xludf.DUMMYFUNCTION("""COMPUTED_VALUE"""),"")</f>
        <v/>
      </c>
      <c r="E573" s="55" t="str">
        <f ca="1">IFERROR(__xludf.DUMMYFUNCTION("""COMPUTED_VALUE"""),"")</f>
        <v/>
      </c>
      <c r="F573" s="54" t="str">
        <f ca="1">IFERROR(__xludf.DUMMYFUNCTION("""COMPUTED_VALUE"""),"")</f>
        <v/>
      </c>
      <c r="G573" s="38" t="str">
        <f ca="1">IFERROR(__xludf.DUMMYFUNCTION("""COMPUTED_VALUE"""),"")</f>
        <v/>
      </c>
      <c r="H573" s="38" t="str">
        <f ca="1">IFERROR(__xludf.DUMMYFUNCTION("""COMPUTED_VALUE"""),"")</f>
        <v/>
      </c>
    </row>
    <row r="574" spans="1:8" ht="12.75">
      <c r="A574" s="36" t="str">
        <f ca="1">IFERROR(__xludf.DUMMYFUNCTION("""COMPUTED_VALUE"""),"")</f>
        <v/>
      </c>
      <c r="B574" s="37"/>
      <c r="C574" s="54" t="str">
        <f ca="1">IFERROR(__xludf.DUMMYFUNCTION("""COMPUTED_VALUE"""),"")</f>
        <v/>
      </c>
      <c r="D574" s="54" t="str">
        <f ca="1">IFERROR(__xludf.DUMMYFUNCTION("""COMPUTED_VALUE"""),"")</f>
        <v/>
      </c>
      <c r="E574" s="55" t="str">
        <f ca="1">IFERROR(__xludf.DUMMYFUNCTION("""COMPUTED_VALUE"""),"")</f>
        <v/>
      </c>
      <c r="F574" s="54" t="str">
        <f ca="1">IFERROR(__xludf.DUMMYFUNCTION("""COMPUTED_VALUE"""),"")</f>
        <v/>
      </c>
      <c r="G574" s="38" t="str">
        <f ca="1">IFERROR(__xludf.DUMMYFUNCTION("""COMPUTED_VALUE"""),"")</f>
        <v/>
      </c>
      <c r="H574" s="38" t="str">
        <f ca="1">IFERROR(__xludf.DUMMYFUNCTION("""COMPUTED_VALUE"""),"")</f>
        <v/>
      </c>
    </row>
    <row r="575" spans="1:8" ht="12.75">
      <c r="A575" s="36" t="str">
        <f ca="1">IFERROR(__xludf.DUMMYFUNCTION("""COMPUTED_VALUE"""),"")</f>
        <v/>
      </c>
      <c r="B575" s="37"/>
      <c r="C575" s="54" t="str">
        <f ca="1">IFERROR(__xludf.DUMMYFUNCTION("""COMPUTED_VALUE"""),"")</f>
        <v/>
      </c>
      <c r="D575" s="54" t="str">
        <f ca="1">IFERROR(__xludf.DUMMYFUNCTION("""COMPUTED_VALUE"""),"")</f>
        <v/>
      </c>
      <c r="E575" s="55" t="str">
        <f ca="1">IFERROR(__xludf.DUMMYFUNCTION("""COMPUTED_VALUE"""),"")</f>
        <v/>
      </c>
      <c r="F575" s="54" t="str">
        <f ca="1">IFERROR(__xludf.DUMMYFUNCTION("""COMPUTED_VALUE"""),"")</f>
        <v/>
      </c>
      <c r="G575" s="38" t="str">
        <f ca="1">IFERROR(__xludf.DUMMYFUNCTION("""COMPUTED_VALUE"""),"")</f>
        <v/>
      </c>
      <c r="H575" s="38" t="str">
        <f ca="1">IFERROR(__xludf.DUMMYFUNCTION("""COMPUTED_VALUE"""),"")</f>
        <v/>
      </c>
    </row>
    <row r="576" spans="1:8" ht="12.75">
      <c r="A576" s="36" t="str">
        <f ca="1">IFERROR(__xludf.DUMMYFUNCTION("""COMPUTED_VALUE"""),"")</f>
        <v/>
      </c>
      <c r="B576" s="37"/>
      <c r="C576" s="54" t="str">
        <f ca="1">IFERROR(__xludf.DUMMYFUNCTION("""COMPUTED_VALUE"""),"")</f>
        <v/>
      </c>
      <c r="D576" s="54" t="str">
        <f ca="1">IFERROR(__xludf.DUMMYFUNCTION("""COMPUTED_VALUE"""),"")</f>
        <v/>
      </c>
      <c r="E576" s="55" t="str">
        <f ca="1">IFERROR(__xludf.DUMMYFUNCTION("""COMPUTED_VALUE"""),"")</f>
        <v/>
      </c>
      <c r="F576" s="54" t="str">
        <f ca="1">IFERROR(__xludf.DUMMYFUNCTION("""COMPUTED_VALUE"""),"")</f>
        <v/>
      </c>
      <c r="G576" s="38" t="str">
        <f ca="1">IFERROR(__xludf.DUMMYFUNCTION("""COMPUTED_VALUE"""),"")</f>
        <v/>
      </c>
      <c r="H576" s="38" t="str">
        <f ca="1">IFERROR(__xludf.DUMMYFUNCTION("""COMPUTED_VALUE"""),"")</f>
        <v/>
      </c>
    </row>
    <row r="577" spans="1:8" ht="12.75">
      <c r="A577" s="36" t="str">
        <f ca="1">IFERROR(__xludf.DUMMYFUNCTION("""COMPUTED_VALUE"""),"")</f>
        <v/>
      </c>
      <c r="B577" s="37"/>
      <c r="C577" s="54" t="str">
        <f ca="1">IFERROR(__xludf.DUMMYFUNCTION("""COMPUTED_VALUE"""),"")</f>
        <v/>
      </c>
      <c r="D577" s="54" t="str">
        <f ca="1">IFERROR(__xludf.DUMMYFUNCTION("""COMPUTED_VALUE"""),"")</f>
        <v/>
      </c>
      <c r="E577" s="55" t="str">
        <f ca="1">IFERROR(__xludf.DUMMYFUNCTION("""COMPUTED_VALUE"""),"")</f>
        <v/>
      </c>
      <c r="F577" s="54" t="str">
        <f ca="1">IFERROR(__xludf.DUMMYFUNCTION("""COMPUTED_VALUE"""),"")</f>
        <v/>
      </c>
      <c r="G577" s="38" t="str">
        <f ca="1">IFERROR(__xludf.DUMMYFUNCTION("""COMPUTED_VALUE"""),"")</f>
        <v/>
      </c>
      <c r="H577" s="38" t="str">
        <f ca="1">IFERROR(__xludf.DUMMYFUNCTION("""COMPUTED_VALUE"""),"")</f>
        <v/>
      </c>
    </row>
    <row r="578" spans="1:8" ht="12.75">
      <c r="A578" s="36" t="str">
        <f ca="1">IFERROR(__xludf.DUMMYFUNCTION("""COMPUTED_VALUE"""),"")</f>
        <v/>
      </c>
      <c r="B578" s="37"/>
      <c r="C578" s="54" t="str">
        <f ca="1">IFERROR(__xludf.DUMMYFUNCTION("""COMPUTED_VALUE"""),"")</f>
        <v/>
      </c>
      <c r="D578" s="54" t="str">
        <f ca="1">IFERROR(__xludf.DUMMYFUNCTION("""COMPUTED_VALUE"""),"")</f>
        <v/>
      </c>
      <c r="E578" s="55" t="str">
        <f ca="1">IFERROR(__xludf.DUMMYFUNCTION("""COMPUTED_VALUE"""),"")</f>
        <v/>
      </c>
      <c r="F578" s="54" t="str">
        <f ca="1">IFERROR(__xludf.DUMMYFUNCTION("""COMPUTED_VALUE"""),"")</f>
        <v/>
      </c>
      <c r="G578" s="38" t="str">
        <f ca="1">IFERROR(__xludf.DUMMYFUNCTION("""COMPUTED_VALUE"""),"")</f>
        <v/>
      </c>
      <c r="H578" s="38" t="str">
        <f ca="1">IFERROR(__xludf.DUMMYFUNCTION("""COMPUTED_VALUE"""),"")</f>
        <v/>
      </c>
    </row>
    <row r="579" spans="1:8" ht="12.75">
      <c r="A579" s="36" t="str">
        <f ca="1">IFERROR(__xludf.DUMMYFUNCTION("""COMPUTED_VALUE"""),"")</f>
        <v/>
      </c>
      <c r="B579" s="37"/>
      <c r="C579" s="54" t="str">
        <f ca="1">IFERROR(__xludf.DUMMYFUNCTION("""COMPUTED_VALUE"""),"")</f>
        <v/>
      </c>
      <c r="D579" s="54" t="str">
        <f ca="1">IFERROR(__xludf.DUMMYFUNCTION("""COMPUTED_VALUE"""),"")</f>
        <v/>
      </c>
      <c r="E579" s="55" t="str">
        <f ca="1">IFERROR(__xludf.DUMMYFUNCTION("""COMPUTED_VALUE"""),"")</f>
        <v/>
      </c>
      <c r="F579" s="54" t="str">
        <f ca="1">IFERROR(__xludf.DUMMYFUNCTION("""COMPUTED_VALUE"""),"")</f>
        <v/>
      </c>
      <c r="G579" s="38" t="str">
        <f ca="1">IFERROR(__xludf.DUMMYFUNCTION("""COMPUTED_VALUE"""),"")</f>
        <v/>
      </c>
      <c r="H579" s="38" t="str">
        <f ca="1">IFERROR(__xludf.DUMMYFUNCTION("""COMPUTED_VALUE"""),"")</f>
        <v/>
      </c>
    </row>
    <row r="580" spans="1:8" ht="12.75">
      <c r="A580" s="36" t="str">
        <f ca="1">IFERROR(__xludf.DUMMYFUNCTION("""COMPUTED_VALUE"""),"")</f>
        <v/>
      </c>
      <c r="B580" s="37"/>
      <c r="C580" s="54" t="str">
        <f ca="1">IFERROR(__xludf.DUMMYFUNCTION("""COMPUTED_VALUE"""),"")</f>
        <v/>
      </c>
      <c r="D580" s="54" t="str">
        <f ca="1">IFERROR(__xludf.DUMMYFUNCTION("""COMPUTED_VALUE"""),"")</f>
        <v/>
      </c>
      <c r="E580" s="55" t="str">
        <f ca="1">IFERROR(__xludf.DUMMYFUNCTION("""COMPUTED_VALUE"""),"")</f>
        <v/>
      </c>
      <c r="F580" s="54" t="str">
        <f ca="1">IFERROR(__xludf.DUMMYFUNCTION("""COMPUTED_VALUE"""),"")</f>
        <v/>
      </c>
      <c r="G580" s="38" t="str">
        <f ca="1">IFERROR(__xludf.DUMMYFUNCTION("""COMPUTED_VALUE"""),"")</f>
        <v/>
      </c>
      <c r="H580" s="38" t="str">
        <f ca="1">IFERROR(__xludf.DUMMYFUNCTION("""COMPUTED_VALUE"""),"")</f>
        <v/>
      </c>
    </row>
    <row r="581" spans="1:8" ht="12.75">
      <c r="A581" s="36" t="str">
        <f ca="1">IFERROR(__xludf.DUMMYFUNCTION("""COMPUTED_VALUE"""),"")</f>
        <v/>
      </c>
      <c r="B581" s="37"/>
      <c r="C581" s="54" t="str">
        <f ca="1">IFERROR(__xludf.DUMMYFUNCTION("""COMPUTED_VALUE"""),"")</f>
        <v/>
      </c>
      <c r="D581" s="54" t="str">
        <f ca="1">IFERROR(__xludf.DUMMYFUNCTION("""COMPUTED_VALUE"""),"")</f>
        <v/>
      </c>
      <c r="E581" s="55" t="str">
        <f ca="1">IFERROR(__xludf.DUMMYFUNCTION("""COMPUTED_VALUE"""),"")</f>
        <v/>
      </c>
      <c r="F581" s="54" t="str">
        <f ca="1">IFERROR(__xludf.DUMMYFUNCTION("""COMPUTED_VALUE"""),"")</f>
        <v/>
      </c>
      <c r="G581" s="38" t="str">
        <f ca="1">IFERROR(__xludf.DUMMYFUNCTION("""COMPUTED_VALUE"""),"")</f>
        <v/>
      </c>
      <c r="H581" s="38" t="str">
        <f ca="1">IFERROR(__xludf.DUMMYFUNCTION("""COMPUTED_VALUE"""),"")</f>
        <v/>
      </c>
    </row>
    <row r="582" spans="1:8" ht="12.75">
      <c r="A582" s="36" t="str">
        <f ca="1">IFERROR(__xludf.DUMMYFUNCTION("""COMPUTED_VALUE"""),"")</f>
        <v/>
      </c>
      <c r="B582" s="37"/>
      <c r="C582" s="54" t="str">
        <f ca="1">IFERROR(__xludf.DUMMYFUNCTION("""COMPUTED_VALUE"""),"")</f>
        <v/>
      </c>
      <c r="D582" s="54" t="str">
        <f ca="1">IFERROR(__xludf.DUMMYFUNCTION("""COMPUTED_VALUE"""),"")</f>
        <v/>
      </c>
      <c r="E582" s="55" t="str">
        <f ca="1">IFERROR(__xludf.DUMMYFUNCTION("""COMPUTED_VALUE"""),"")</f>
        <v/>
      </c>
      <c r="F582" s="54" t="str">
        <f ca="1">IFERROR(__xludf.DUMMYFUNCTION("""COMPUTED_VALUE"""),"")</f>
        <v/>
      </c>
      <c r="G582" s="38" t="str">
        <f ca="1">IFERROR(__xludf.DUMMYFUNCTION("""COMPUTED_VALUE"""),"")</f>
        <v/>
      </c>
      <c r="H582" s="38" t="str">
        <f ca="1">IFERROR(__xludf.DUMMYFUNCTION("""COMPUTED_VALUE"""),"")</f>
        <v/>
      </c>
    </row>
    <row r="583" spans="1:8" ht="12.75">
      <c r="A583" s="36" t="str">
        <f ca="1">IFERROR(__xludf.DUMMYFUNCTION("""COMPUTED_VALUE"""),"")</f>
        <v/>
      </c>
      <c r="B583" s="37"/>
      <c r="C583" s="54" t="str">
        <f ca="1">IFERROR(__xludf.DUMMYFUNCTION("""COMPUTED_VALUE"""),"")</f>
        <v/>
      </c>
      <c r="D583" s="54" t="str">
        <f ca="1">IFERROR(__xludf.DUMMYFUNCTION("""COMPUTED_VALUE"""),"")</f>
        <v/>
      </c>
      <c r="E583" s="55" t="str">
        <f ca="1">IFERROR(__xludf.DUMMYFUNCTION("""COMPUTED_VALUE"""),"")</f>
        <v/>
      </c>
      <c r="F583" s="54" t="str">
        <f ca="1">IFERROR(__xludf.DUMMYFUNCTION("""COMPUTED_VALUE"""),"")</f>
        <v/>
      </c>
      <c r="G583" s="38" t="str">
        <f ca="1">IFERROR(__xludf.DUMMYFUNCTION("""COMPUTED_VALUE"""),"")</f>
        <v/>
      </c>
      <c r="H583" s="38" t="str">
        <f ca="1">IFERROR(__xludf.DUMMYFUNCTION("""COMPUTED_VALUE"""),"")</f>
        <v/>
      </c>
    </row>
    <row r="584" spans="1:8" ht="12.75">
      <c r="A584" s="36" t="str">
        <f ca="1">IFERROR(__xludf.DUMMYFUNCTION("""COMPUTED_VALUE"""),"")</f>
        <v/>
      </c>
      <c r="B584" s="37"/>
      <c r="C584" s="54" t="str">
        <f ca="1">IFERROR(__xludf.DUMMYFUNCTION("""COMPUTED_VALUE"""),"")</f>
        <v/>
      </c>
      <c r="D584" s="54" t="str">
        <f ca="1">IFERROR(__xludf.DUMMYFUNCTION("""COMPUTED_VALUE"""),"")</f>
        <v/>
      </c>
      <c r="E584" s="55" t="str">
        <f ca="1">IFERROR(__xludf.DUMMYFUNCTION("""COMPUTED_VALUE"""),"")</f>
        <v/>
      </c>
      <c r="F584" s="54" t="str">
        <f ca="1">IFERROR(__xludf.DUMMYFUNCTION("""COMPUTED_VALUE"""),"")</f>
        <v/>
      </c>
      <c r="G584" s="38" t="str">
        <f ca="1">IFERROR(__xludf.DUMMYFUNCTION("""COMPUTED_VALUE"""),"")</f>
        <v/>
      </c>
      <c r="H584" s="38" t="str">
        <f ca="1">IFERROR(__xludf.DUMMYFUNCTION("""COMPUTED_VALUE"""),"")</f>
        <v/>
      </c>
    </row>
    <row r="585" spans="1:8" ht="12.75">
      <c r="A585" s="36" t="str">
        <f ca="1">IFERROR(__xludf.DUMMYFUNCTION("""COMPUTED_VALUE"""),"")</f>
        <v/>
      </c>
      <c r="B585" s="37"/>
      <c r="C585" s="54" t="str">
        <f ca="1">IFERROR(__xludf.DUMMYFUNCTION("""COMPUTED_VALUE"""),"")</f>
        <v/>
      </c>
      <c r="D585" s="54" t="str">
        <f ca="1">IFERROR(__xludf.DUMMYFUNCTION("""COMPUTED_VALUE"""),"")</f>
        <v/>
      </c>
      <c r="E585" s="55" t="str">
        <f ca="1">IFERROR(__xludf.DUMMYFUNCTION("""COMPUTED_VALUE"""),"")</f>
        <v/>
      </c>
      <c r="F585" s="54" t="str">
        <f ca="1">IFERROR(__xludf.DUMMYFUNCTION("""COMPUTED_VALUE"""),"")</f>
        <v/>
      </c>
      <c r="G585" s="38" t="str">
        <f ca="1">IFERROR(__xludf.DUMMYFUNCTION("""COMPUTED_VALUE"""),"")</f>
        <v/>
      </c>
      <c r="H585" s="38" t="str">
        <f ca="1">IFERROR(__xludf.DUMMYFUNCTION("""COMPUTED_VALUE"""),"")</f>
        <v/>
      </c>
    </row>
    <row r="586" spans="1:8" ht="12.75">
      <c r="A586" s="36" t="str">
        <f ca="1">IFERROR(__xludf.DUMMYFUNCTION("""COMPUTED_VALUE"""),"")</f>
        <v/>
      </c>
      <c r="B586" s="37"/>
      <c r="C586" s="54" t="str">
        <f ca="1">IFERROR(__xludf.DUMMYFUNCTION("""COMPUTED_VALUE"""),"")</f>
        <v/>
      </c>
      <c r="D586" s="54" t="str">
        <f ca="1">IFERROR(__xludf.DUMMYFUNCTION("""COMPUTED_VALUE"""),"")</f>
        <v/>
      </c>
      <c r="E586" s="55" t="str">
        <f ca="1">IFERROR(__xludf.DUMMYFUNCTION("""COMPUTED_VALUE"""),"")</f>
        <v/>
      </c>
      <c r="F586" s="54" t="str">
        <f ca="1">IFERROR(__xludf.DUMMYFUNCTION("""COMPUTED_VALUE"""),"")</f>
        <v/>
      </c>
      <c r="G586" s="38" t="str">
        <f ca="1">IFERROR(__xludf.DUMMYFUNCTION("""COMPUTED_VALUE"""),"")</f>
        <v/>
      </c>
      <c r="H586" s="38" t="str">
        <f ca="1">IFERROR(__xludf.DUMMYFUNCTION("""COMPUTED_VALUE"""),"")</f>
        <v/>
      </c>
    </row>
    <row r="587" spans="1:8" ht="12.75">
      <c r="A587" s="36" t="str">
        <f ca="1">IFERROR(__xludf.DUMMYFUNCTION("""COMPUTED_VALUE"""),"")</f>
        <v/>
      </c>
      <c r="B587" s="37"/>
      <c r="C587" s="54" t="str">
        <f ca="1">IFERROR(__xludf.DUMMYFUNCTION("""COMPUTED_VALUE"""),"")</f>
        <v/>
      </c>
      <c r="D587" s="54" t="str">
        <f ca="1">IFERROR(__xludf.DUMMYFUNCTION("""COMPUTED_VALUE"""),"")</f>
        <v/>
      </c>
      <c r="E587" s="55" t="str">
        <f ca="1">IFERROR(__xludf.DUMMYFUNCTION("""COMPUTED_VALUE"""),"")</f>
        <v/>
      </c>
      <c r="F587" s="54" t="str">
        <f ca="1">IFERROR(__xludf.DUMMYFUNCTION("""COMPUTED_VALUE"""),"")</f>
        <v/>
      </c>
      <c r="G587" s="38" t="str">
        <f ca="1">IFERROR(__xludf.DUMMYFUNCTION("""COMPUTED_VALUE"""),"")</f>
        <v/>
      </c>
      <c r="H587" s="38" t="str">
        <f ca="1">IFERROR(__xludf.DUMMYFUNCTION("""COMPUTED_VALUE"""),"")</f>
        <v/>
      </c>
    </row>
    <row r="588" spans="1:8" ht="12.75">
      <c r="A588" s="36" t="str">
        <f ca="1">IFERROR(__xludf.DUMMYFUNCTION("""COMPUTED_VALUE"""),"")</f>
        <v/>
      </c>
      <c r="B588" s="37"/>
      <c r="C588" s="54" t="str">
        <f ca="1">IFERROR(__xludf.DUMMYFUNCTION("""COMPUTED_VALUE"""),"")</f>
        <v/>
      </c>
      <c r="D588" s="54" t="str">
        <f ca="1">IFERROR(__xludf.DUMMYFUNCTION("""COMPUTED_VALUE"""),"")</f>
        <v/>
      </c>
      <c r="E588" s="55" t="str">
        <f ca="1">IFERROR(__xludf.DUMMYFUNCTION("""COMPUTED_VALUE"""),"")</f>
        <v/>
      </c>
      <c r="F588" s="54" t="str">
        <f ca="1">IFERROR(__xludf.DUMMYFUNCTION("""COMPUTED_VALUE"""),"")</f>
        <v/>
      </c>
      <c r="G588" s="38" t="str">
        <f ca="1">IFERROR(__xludf.DUMMYFUNCTION("""COMPUTED_VALUE"""),"")</f>
        <v/>
      </c>
      <c r="H588" s="38" t="str">
        <f ca="1">IFERROR(__xludf.DUMMYFUNCTION("""COMPUTED_VALUE"""),"")</f>
        <v/>
      </c>
    </row>
    <row r="589" spans="1:8" ht="12.75">
      <c r="A589" s="36" t="str">
        <f ca="1">IFERROR(__xludf.DUMMYFUNCTION("""COMPUTED_VALUE"""),"")</f>
        <v/>
      </c>
      <c r="B589" s="37"/>
      <c r="C589" s="54" t="str">
        <f ca="1">IFERROR(__xludf.DUMMYFUNCTION("""COMPUTED_VALUE"""),"")</f>
        <v/>
      </c>
      <c r="D589" s="54" t="str">
        <f ca="1">IFERROR(__xludf.DUMMYFUNCTION("""COMPUTED_VALUE"""),"")</f>
        <v/>
      </c>
      <c r="E589" s="55" t="str">
        <f ca="1">IFERROR(__xludf.DUMMYFUNCTION("""COMPUTED_VALUE"""),"")</f>
        <v/>
      </c>
      <c r="F589" s="54" t="str">
        <f ca="1">IFERROR(__xludf.DUMMYFUNCTION("""COMPUTED_VALUE"""),"")</f>
        <v/>
      </c>
      <c r="G589" s="38" t="str">
        <f ca="1">IFERROR(__xludf.DUMMYFUNCTION("""COMPUTED_VALUE"""),"")</f>
        <v/>
      </c>
      <c r="H589" s="38" t="str">
        <f ca="1">IFERROR(__xludf.DUMMYFUNCTION("""COMPUTED_VALUE"""),"")</f>
        <v/>
      </c>
    </row>
    <row r="590" spans="1:8" ht="12.75">
      <c r="A590" s="36" t="str">
        <f ca="1">IFERROR(__xludf.DUMMYFUNCTION("""COMPUTED_VALUE"""),"")</f>
        <v/>
      </c>
      <c r="B590" s="37"/>
      <c r="C590" s="54" t="str">
        <f ca="1">IFERROR(__xludf.DUMMYFUNCTION("""COMPUTED_VALUE"""),"")</f>
        <v/>
      </c>
      <c r="D590" s="54" t="str">
        <f ca="1">IFERROR(__xludf.DUMMYFUNCTION("""COMPUTED_VALUE"""),"")</f>
        <v/>
      </c>
      <c r="E590" s="55" t="str">
        <f ca="1">IFERROR(__xludf.DUMMYFUNCTION("""COMPUTED_VALUE"""),"")</f>
        <v/>
      </c>
      <c r="F590" s="54" t="str">
        <f ca="1">IFERROR(__xludf.DUMMYFUNCTION("""COMPUTED_VALUE"""),"")</f>
        <v/>
      </c>
      <c r="G590" s="38" t="str">
        <f ca="1">IFERROR(__xludf.DUMMYFUNCTION("""COMPUTED_VALUE"""),"")</f>
        <v/>
      </c>
      <c r="H590" s="38" t="str">
        <f ca="1">IFERROR(__xludf.DUMMYFUNCTION("""COMPUTED_VALUE"""),"")</f>
        <v/>
      </c>
    </row>
    <row r="591" spans="1:8" ht="12.75">
      <c r="A591" s="36" t="str">
        <f ca="1">IFERROR(__xludf.DUMMYFUNCTION("""COMPUTED_VALUE"""),"")</f>
        <v/>
      </c>
      <c r="B591" s="37"/>
      <c r="C591" s="54" t="str">
        <f ca="1">IFERROR(__xludf.DUMMYFUNCTION("""COMPUTED_VALUE"""),"")</f>
        <v/>
      </c>
      <c r="D591" s="54" t="str">
        <f ca="1">IFERROR(__xludf.DUMMYFUNCTION("""COMPUTED_VALUE"""),"")</f>
        <v/>
      </c>
      <c r="E591" s="55" t="str">
        <f ca="1">IFERROR(__xludf.DUMMYFUNCTION("""COMPUTED_VALUE"""),"")</f>
        <v/>
      </c>
      <c r="F591" s="54" t="str">
        <f ca="1">IFERROR(__xludf.DUMMYFUNCTION("""COMPUTED_VALUE"""),"")</f>
        <v/>
      </c>
      <c r="G591" s="38" t="str">
        <f ca="1">IFERROR(__xludf.DUMMYFUNCTION("""COMPUTED_VALUE"""),"")</f>
        <v/>
      </c>
      <c r="H591" s="38" t="str">
        <f ca="1">IFERROR(__xludf.DUMMYFUNCTION("""COMPUTED_VALUE"""),"")</f>
        <v/>
      </c>
    </row>
    <row r="592" spans="1:8" ht="12.75">
      <c r="A592" s="36" t="str">
        <f ca="1">IFERROR(__xludf.DUMMYFUNCTION("""COMPUTED_VALUE"""),"")</f>
        <v/>
      </c>
      <c r="B592" s="37"/>
      <c r="C592" s="54" t="str">
        <f ca="1">IFERROR(__xludf.DUMMYFUNCTION("""COMPUTED_VALUE"""),"")</f>
        <v/>
      </c>
      <c r="D592" s="54" t="str">
        <f ca="1">IFERROR(__xludf.DUMMYFUNCTION("""COMPUTED_VALUE"""),"")</f>
        <v/>
      </c>
      <c r="E592" s="55" t="str">
        <f ca="1">IFERROR(__xludf.DUMMYFUNCTION("""COMPUTED_VALUE"""),"")</f>
        <v/>
      </c>
      <c r="F592" s="54" t="str">
        <f ca="1">IFERROR(__xludf.DUMMYFUNCTION("""COMPUTED_VALUE"""),"")</f>
        <v/>
      </c>
      <c r="G592" s="38" t="str">
        <f ca="1">IFERROR(__xludf.DUMMYFUNCTION("""COMPUTED_VALUE"""),"")</f>
        <v/>
      </c>
      <c r="H592" s="38" t="str">
        <f ca="1">IFERROR(__xludf.DUMMYFUNCTION("""COMPUTED_VALUE"""),"")</f>
        <v/>
      </c>
    </row>
    <row r="593" spans="1:8" ht="12.75">
      <c r="A593" s="36" t="str">
        <f ca="1">IFERROR(__xludf.DUMMYFUNCTION("""COMPUTED_VALUE"""),"")</f>
        <v/>
      </c>
      <c r="B593" s="37"/>
      <c r="C593" s="54" t="str">
        <f ca="1">IFERROR(__xludf.DUMMYFUNCTION("""COMPUTED_VALUE"""),"")</f>
        <v/>
      </c>
      <c r="D593" s="54" t="str">
        <f ca="1">IFERROR(__xludf.DUMMYFUNCTION("""COMPUTED_VALUE"""),"")</f>
        <v/>
      </c>
      <c r="E593" s="55" t="str">
        <f ca="1">IFERROR(__xludf.DUMMYFUNCTION("""COMPUTED_VALUE"""),"")</f>
        <v/>
      </c>
      <c r="F593" s="54" t="str">
        <f ca="1">IFERROR(__xludf.DUMMYFUNCTION("""COMPUTED_VALUE"""),"")</f>
        <v/>
      </c>
      <c r="G593" s="38" t="str">
        <f ca="1">IFERROR(__xludf.DUMMYFUNCTION("""COMPUTED_VALUE"""),"")</f>
        <v/>
      </c>
      <c r="H593" s="38" t="str">
        <f ca="1">IFERROR(__xludf.DUMMYFUNCTION("""COMPUTED_VALUE"""),"")</f>
        <v/>
      </c>
    </row>
    <row r="594" spans="1:8" ht="12.75">
      <c r="A594" s="36" t="str">
        <f ca="1">IFERROR(__xludf.DUMMYFUNCTION("""COMPUTED_VALUE"""),"")</f>
        <v/>
      </c>
      <c r="B594" s="37"/>
      <c r="C594" s="54" t="str">
        <f ca="1">IFERROR(__xludf.DUMMYFUNCTION("""COMPUTED_VALUE"""),"")</f>
        <v/>
      </c>
      <c r="D594" s="54" t="str">
        <f ca="1">IFERROR(__xludf.DUMMYFUNCTION("""COMPUTED_VALUE"""),"")</f>
        <v/>
      </c>
      <c r="E594" s="55" t="str">
        <f ca="1">IFERROR(__xludf.DUMMYFUNCTION("""COMPUTED_VALUE"""),"")</f>
        <v/>
      </c>
      <c r="F594" s="54" t="str">
        <f ca="1">IFERROR(__xludf.DUMMYFUNCTION("""COMPUTED_VALUE"""),"")</f>
        <v/>
      </c>
      <c r="G594" s="38" t="str">
        <f ca="1">IFERROR(__xludf.DUMMYFUNCTION("""COMPUTED_VALUE"""),"")</f>
        <v/>
      </c>
      <c r="H594" s="38" t="str">
        <f ca="1">IFERROR(__xludf.DUMMYFUNCTION("""COMPUTED_VALUE"""),"")</f>
        <v/>
      </c>
    </row>
    <row r="595" spans="1:8" ht="12.75">
      <c r="A595" s="36" t="str">
        <f ca="1">IFERROR(__xludf.DUMMYFUNCTION("""COMPUTED_VALUE"""),"")</f>
        <v/>
      </c>
      <c r="B595" s="37"/>
      <c r="C595" s="54" t="str">
        <f ca="1">IFERROR(__xludf.DUMMYFUNCTION("""COMPUTED_VALUE"""),"")</f>
        <v/>
      </c>
      <c r="D595" s="54" t="str">
        <f ca="1">IFERROR(__xludf.DUMMYFUNCTION("""COMPUTED_VALUE"""),"")</f>
        <v/>
      </c>
      <c r="E595" s="55" t="str">
        <f ca="1">IFERROR(__xludf.DUMMYFUNCTION("""COMPUTED_VALUE"""),"")</f>
        <v/>
      </c>
      <c r="F595" s="54" t="str">
        <f ca="1">IFERROR(__xludf.DUMMYFUNCTION("""COMPUTED_VALUE"""),"")</f>
        <v/>
      </c>
      <c r="G595" s="38" t="str">
        <f ca="1">IFERROR(__xludf.DUMMYFUNCTION("""COMPUTED_VALUE"""),"")</f>
        <v/>
      </c>
      <c r="H595" s="38" t="str">
        <f ca="1">IFERROR(__xludf.DUMMYFUNCTION("""COMPUTED_VALUE"""),"")</f>
        <v/>
      </c>
    </row>
    <row r="596" spans="1:8" ht="12.75">
      <c r="A596" s="36" t="str">
        <f ca="1">IFERROR(__xludf.DUMMYFUNCTION("""COMPUTED_VALUE"""),"")</f>
        <v/>
      </c>
      <c r="B596" s="37"/>
      <c r="C596" s="54" t="str">
        <f ca="1">IFERROR(__xludf.DUMMYFUNCTION("""COMPUTED_VALUE"""),"")</f>
        <v/>
      </c>
      <c r="D596" s="54" t="str">
        <f ca="1">IFERROR(__xludf.DUMMYFUNCTION("""COMPUTED_VALUE"""),"")</f>
        <v/>
      </c>
      <c r="E596" s="55" t="str">
        <f ca="1">IFERROR(__xludf.DUMMYFUNCTION("""COMPUTED_VALUE"""),"")</f>
        <v/>
      </c>
      <c r="F596" s="54" t="str">
        <f ca="1">IFERROR(__xludf.DUMMYFUNCTION("""COMPUTED_VALUE"""),"")</f>
        <v/>
      </c>
      <c r="G596" s="38" t="str">
        <f ca="1">IFERROR(__xludf.DUMMYFUNCTION("""COMPUTED_VALUE"""),"")</f>
        <v/>
      </c>
      <c r="H596" s="38" t="str">
        <f ca="1">IFERROR(__xludf.DUMMYFUNCTION("""COMPUTED_VALUE"""),"")</f>
        <v/>
      </c>
    </row>
    <row r="597" spans="1:8" ht="12.75">
      <c r="A597" s="36" t="str">
        <f ca="1">IFERROR(__xludf.DUMMYFUNCTION("""COMPUTED_VALUE"""),"")</f>
        <v/>
      </c>
      <c r="B597" s="37"/>
      <c r="C597" s="54" t="str">
        <f ca="1">IFERROR(__xludf.DUMMYFUNCTION("""COMPUTED_VALUE"""),"")</f>
        <v/>
      </c>
      <c r="D597" s="54" t="str">
        <f ca="1">IFERROR(__xludf.DUMMYFUNCTION("""COMPUTED_VALUE"""),"")</f>
        <v/>
      </c>
      <c r="E597" s="55" t="str">
        <f ca="1">IFERROR(__xludf.DUMMYFUNCTION("""COMPUTED_VALUE"""),"")</f>
        <v/>
      </c>
      <c r="F597" s="54" t="str">
        <f ca="1">IFERROR(__xludf.DUMMYFUNCTION("""COMPUTED_VALUE"""),"")</f>
        <v/>
      </c>
      <c r="G597" s="38" t="str">
        <f ca="1">IFERROR(__xludf.DUMMYFUNCTION("""COMPUTED_VALUE"""),"")</f>
        <v/>
      </c>
      <c r="H597" s="38" t="str">
        <f ca="1">IFERROR(__xludf.DUMMYFUNCTION("""COMPUTED_VALUE"""),"")</f>
        <v/>
      </c>
    </row>
    <row r="598" spans="1:8" ht="12.75">
      <c r="A598" s="36" t="str">
        <f ca="1">IFERROR(__xludf.DUMMYFUNCTION("""COMPUTED_VALUE"""),"")</f>
        <v/>
      </c>
      <c r="B598" s="37"/>
      <c r="C598" s="54" t="str">
        <f ca="1">IFERROR(__xludf.DUMMYFUNCTION("""COMPUTED_VALUE"""),"")</f>
        <v/>
      </c>
      <c r="D598" s="54" t="str">
        <f ca="1">IFERROR(__xludf.DUMMYFUNCTION("""COMPUTED_VALUE"""),"")</f>
        <v/>
      </c>
      <c r="E598" s="55" t="str">
        <f ca="1">IFERROR(__xludf.DUMMYFUNCTION("""COMPUTED_VALUE"""),"")</f>
        <v/>
      </c>
      <c r="F598" s="54" t="str">
        <f ca="1">IFERROR(__xludf.DUMMYFUNCTION("""COMPUTED_VALUE"""),"")</f>
        <v/>
      </c>
      <c r="G598" s="38" t="str">
        <f ca="1">IFERROR(__xludf.DUMMYFUNCTION("""COMPUTED_VALUE"""),"")</f>
        <v/>
      </c>
      <c r="H598" s="38" t="str">
        <f ca="1">IFERROR(__xludf.DUMMYFUNCTION("""COMPUTED_VALUE"""),"")</f>
        <v/>
      </c>
    </row>
    <row r="599" spans="1:8" ht="12.75">
      <c r="A599" s="36" t="str">
        <f ca="1">IFERROR(__xludf.DUMMYFUNCTION("""COMPUTED_VALUE"""),"")</f>
        <v/>
      </c>
      <c r="B599" s="37"/>
      <c r="C599" s="54" t="str">
        <f ca="1">IFERROR(__xludf.DUMMYFUNCTION("""COMPUTED_VALUE"""),"")</f>
        <v/>
      </c>
      <c r="D599" s="54" t="str">
        <f ca="1">IFERROR(__xludf.DUMMYFUNCTION("""COMPUTED_VALUE"""),"")</f>
        <v/>
      </c>
      <c r="E599" s="55" t="str">
        <f ca="1">IFERROR(__xludf.DUMMYFUNCTION("""COMPUTED_VALUE"""),"")</f>
        <v/>
      </c>
      <c r="F599" s="54" t="str">
        <f ca="1">IFERROR(__xludf.DUMMYFUNCTION("""COMPUTED_VALUE"""),"")</f>
        <v/>
      </c>
      <c r="G599" s="38" t="str">
        <f ca="1">IFERROR(__xludf.DUMMYFUNCTION("""COMPUTED_VALUE"""),"")</f>
        <v/>
      </c>
      <c r="H599" s="38" t="str">
        <f ca="1">IFERROR(__xludf.DUMMYFUNCTION("""COMPUTED_VALUE"""),"")</f>
        <v/>
      </c>
    </row>
    <row r="600" spans="1:8" ht="12.75">
      <c r="A600" s="36" t="str">
        <f ca="1">IFERROR(__xludf.DUMMYFUNCTION("""COMPUTED_VALUE"""),"")</f>
        <v/>
      </c>
      <c r="B600" s="37"/>
      <c r="C600" s="54" t="str">
        <f ca="1">IFERROR(__xludf.DUMMYFUNCTION("""COMPUTED_VALUE"""),"")</f>
        <v/>
      </c>
      <c r="D600" s="54" t="str">
        <f ca="1">IFERROR(__xludf.DUMMYFUNCTION("""COMPUTED_VALUE"""),"")</f>
        <v/>
      </c>
      <c r="E600" s="55" t="str">
        <f ca="1">IFERROR(__xludf.DUMMYFUNCTION("""COMPUTED_VALUE"""),"")</f>
        <v/>
      </c>
      <c r="F600" s="54" t="str">
        <f ca="1">IFERROR(__xludf.DUMMYFUNCTION("""COMPUTED_VALUE"""),"")</f>
        <v/>
      </c>
      <c r="G600" s="38" t="str">
        <f ca="1">IFERROR(__xludf.DUMMYFUNCTION("""COMPUTED_VALUE"""),"")</f>
        <v/>
      </c>
      <c r="H600" s="38" t="str">
        <f ca="1">IFERROR(__xludf.DUMMYFUNCTION("""COMPUTED_VALUE"""),"")</f>
        <v/>
      </c>
    </row>
    <row r="601" spans="1:8" ht="12.75">
      <c r="A601" s="36" t="str">
        <f ca="1">IFERROR(__xludf.DUMMYFUNCTION("""COMPUTED_VALUE"""),"")</f>
        <v/>
      </c>
      <c r="B601" s="37"/>
      <c r="C601" s="54" t="str">
        <f ca="1">IFERROR(__xludf.DUMMYFUNCTION("""COMPUTED_VALUE"""),"")</f>
        <v/>
      </c>
      <c r="D601" s="54" t="str">
        <f ca="1">IFERROR(__xludf.DUMMYFUNCTION("""COMPUTED_VALUE"""),"")</f>
        <v/>
      </c>
      <c r="E601" s="55" t="str">
        <f ca="1">IFERROR(__xludf.DUMMYFUNCTION("""COMPUTED_VALUE"""),"")</f>
        <v/>
      </c>
      <c r="F601" s="54" t="str">
        <f ca="1">IFERROR(__xludf.DUMMYFUNCTION("""COMPUTED_VALUE"""),"")</f>
        <v/>
      </c>
      <c r="G601" s="38" t="str">
        <f ca="1">IFERROR(__xludf.DUMMYFUNCTION("""COMPUTED_VALUE"""),"")</f>
        <v/>
      </c>
      <c r="H601" s="38" t="str">
        <f ca="1">IFERROR(__xludf.DUMMYFUNCTION("""COMPUTED_VALUE"""),"")</f>
        <v/>
      </c>
    </row>
    <row r="602" spans="1:8" ht="12.75">
      <c r="A602" s="36" t="str">
        <f ca="1">IFERROR(__xludf.DUMMYFUNCTION("""COMPUTED_VALUE"""),"")</f>
        <v/>
      </c>
      <c r="B602" s="37"/>
      <c r="C602" s="54" t="str">
        <f ca="1">IFERROR(__xludf.DUMMYFUNCTION("""COMPUTED_VALUE"""),"")</f>
        <v/>
      </c>
      <c r="D602" s="54" t="str">
        <f ca="1">IFERROR(__xludf.DUMMYFUNCTION("""COMPUTED_VALUE"""),"")</f>
        <v/>
      </c>
      <c r="E602" s="55" t="str">
        <f ca="1">IFERROR(__xludf.DUMMYFUNCTION("""COMPUTED_VALUE"""),"")</f>
        <v/>
      </c>
      <c r="F602" s="54" t="str">
        <f ca="1">IFERROR(__xludf.DUMMYFUNCTION("""COMPUTED_VALUE"""),"")</f>
        <v/>
      </c>
      <c r="G602" s="38" t="str">
        <f ca="1">IFERROR(__xludf.DUMMYFUNCTION("""COMPUTED_VALUE"""),"")</f>
        <v/>
      </c>
      <c r="H602" s="38" t="str">
        <f ca="1">IFERROR(__xludf.DUMMYFUNCTION("""COMPUTED_VALUE"""),"")</f>
        <v/>
      </c>
    </row>
    <row r="603" spans="1:8" ht="12.75">
      <c r="A603" s="36" t="str">
        <f ca="1">IFERROR(__xludf.DUMMYFUNCTION("""COMPUTED_VALUE"""),"")</f>
        <v/>
      </c>
      <c r="B603" s="37"/>
      <c r="C603" s="54" t="str">
        <f ca="1">IFERROR(__xludf.DUMMYFUNCTION("""COMPUTED_VALUE"""),"")</f>
        <v/>
      </c>
      <c r="D603" s="54" t="str">
        <f ca="1">IFERROR(__xludf.DUMMYFUNCTION("""COMPUTED_VALUE"""),"")</f>
        <v/>
      </c>
      <c r="E603" s="55" t="str">
        <f ca="1">IFERROR(__xludf.DUMMYFUNCTION("""COMPUTED_VALUE"""),"")</f>
        <v/>
      </c>
      <c r="F603" s="54" t="str">
        <f ca="1">IFERROR(__xludf.DUMMYFUNCTION("""COMPUTED_VALUE"""),"")</f>
        <v/>
      </c>
      <c r="G603" s="38" t="str">
        <f ca="1">IFERROR(__xludf.DUMMYFUNCTION("""COMPUTED_VALUE"""),"")</f>
        <v/>
      </c>
      <c r="H603" s="38" t="str">
        <f ca="1">IFERROR(__xludf.DUMMYFUNCTION("""COMPUTED_VALUE"""),"")</f>
        <v/>
      </c>
    </row>
    <row r="604" spans="1:8" ht="12.75">
      <c r="A604" s="36" t="str">
        <f ca="1">IFERROR(__xludf.DUMMYFUNCTION("""COMPUTED_VALUE"""),"")</f>
        <v/>
      </c>
      <c r="B604" s="37"/>
      <c r="C604" s="54" t="str">
        <f ca="1">IFERROR(__xludf.DUMMYFUNCTION("""COMPUTED_VALUE"""),"")</f>
        <v/>
      </c>
      <c r="D604" s="54" t="str">
        <f ca="1">IFERROR(__xludf.DUMMYFUNCTION("""COMPUTED_VALUE"""),"")</f>
        <v/>
      </c>
      <c r="E604" s="55" t="str">
        <f ca="1">IFERROR(__xludf.DUMMYFUNCTION("""COMPUTED_VALUE"""),"")</f>
        <v/>
      </c>
      <c r="F604" s="54" t="str">
        <f ca="1">IFERROR(__xludf.DUMMYFUNCTION("""COMPUTED_VALUE"""),"")</f>
        <v/>
      </c>
      <c r="G604" s="38" t="str">
        <f ca="1">IFERROR(__xludf.DUMMYFUNCTION("""COMPUTED_VALUE"""),"")</f>
        <v/>
      </c>
      <c r="H604" s="38" t="str">
        <f ca="1">IFERROR(__xludf.DUMMYFUNCTION("""COMPUTED_VALUE"""),"")</f>
        <v/>
      </c>
    </row>
    <row r="605" spans="1:8" ht="12.75">
      <c r="A605" s="36" t="str">
        <f ca="1">IFERROR(__xludf.DUMMYFUNCTION("""COMPUTED_VALUE"""),"")</f>
        <v/>
      </c>
      <c r="B605" s="37"/>
      <c r="C605" s="54" t="str">
        <f ca="1">IFERROR(__xludf.DUMMYFUNCTION("""COMPUTED_VALUE"""),"")</f>
        <v/>
      </c>
      <c r="D605" s="54" t="str">
        <f ca="1">IFERROR(__xludf.DUMMYFUNCTION("""COMPUTED_VALUE"""),"")</f>
        <v/>
      </c>
      <c r="E605" s="55" t="str">
        <f ca="1">IFERROR(__xludf.DUMMYFUNCTION("""COMPUTED_VALUE"""),"")</f>
        <v/>
      </c>
      <c r="F605" s="54" t="str">
        <f ca="1">IFERROR(__xludf.DUMMYFUNCTION("""COMPUTED_VALUE"""),"")</f>
        <v/>
      </c>
      <c r="G605" s="38" t="str">
        <f ca="1">IFERROR(__xludf.DUMMYFUNCTION("""COMPUTED_VALUE"""),"")</f>
        <v/>
      </c>
      <c r="H605" s="38" t="str">
        <f ca="1">IFERROR(__xludf.DUMMYFUNCTION("""COMPUTED_VALUE"""),"")</f>
        <v/>
      </c>
    </row>
    <row r="606" spans="1:8" ht="12.75">
      <c r="A606" s="36" t="str">
        <f ca="1">IFERROR(__xludf.DUMMYFUNCTION("""COMPUTED_VALUE"""),"")</f>
        <v/>
      </c>
      <c r="B606" s="37"/>
      <c r="C606" s="54" t="str">
        <f ca="1">IFERROR(__xludf.DUMMYFUNCTION("""COMPUTED_VALUE"""),"")</f>
        <v/>
      </c>
      <c r="D606" s="54" t="str">
        <f ca="1">IFERROR(__xludf.DUMMYFUNCTION("""COMPUTED_VALUE"""),"")</f>
        <v/>
      </c>
      <c r="E606" s="55" t="str">
        <f ca="1">IFERROR(__xludf.DUMMYFUNCTION("""COMPUTED_VALUE"""),"")</f>
        <v/>
      </c>
      <c r="F606" s="54" t="str">
        <f ca="1">IFERROR(__xludf.DUMMYFUNCTION("""COMPUTED_VALUE"""),"")</f>
        <v/>
      </c>
      <c r="G606" s="38" t="str">
        <f ca="1">IFERROR(__xludf.DUMMYFUNCTION("""COMPUTED_VALUE"""),"")</f>
        <v/>
      </c>
      <c r="H606" s="38" t="str">
        <f ca="1">IFERROR(__xludf.DUMMYFUNCTION("""COMPUTED_VALUE"""),"")</f>
        <v/>
      </c>
    </row>
    <row r="607" spans="1:8" ht="12.75">
      <c r="A607" s="36" t="str">
        <f ca="1">IFERROR(__xludf.DUMMYFUNCTION("""COMPUTED_VALUE"""),"")</f>
        <v/>
      </c>
      <c r="B607" s="37"/>
      <c r="C607" s="54" t="str">
        <f ca="1">IFERROR(__xludf.DUMMYFUNCTION("""COMPUTED_VALUE"""),"")</f>
        <v/>
      </c>
      <c r="D607" s="54" t="str">
        <f ca="1">IFERROR(__xludf.DUMMYFUNCTION("""COMPUTED_VALUE"""),"")</f>
        <v/>
      </c>
      <c r="E607" s="55" t="str">
        <f ca="1">IFERROR(__xludf.DUMMYFUNCTION("""COMPUTED_VALUE"""),"")</f>
        <v/>
      </c>
      <c r="F607" s="54" t="str">
        <f ca="1">IFERROR(__xludf.DUMMYFUNCTION("""COMPUTED_VALUE"""),"")</f>
        <v/>
      </c>
      <c r="G607" s="38" t="str">
        <f ca="1">IFERROR(__xludf.DUMMYFUNCTION("""COMPUTED_VALUE"""),"")</f>
        <v/>
      </c>
      <c r="H607" s="38" t="str">
        <f ca="1">IFERROR(__xludf.DUMMYFUNCTION("""COMPUTED_VALUE"""),"")</f>
        <v/>
      </c>
    </row>
    <row r="608" spans="1:8" ht="12.75">
      <c r="A608" s="36" t="str">
        <f ca="1">IFERROR(__xludf.DUMMYFUNCTION("""COMPUTED_VALUE"""),"")</f>
        <v/>
      </c>
      <c r="B608" s="37"/>
      <c r="C608" s="54" t="str">
        <f ca="1">IFERROR(__xludf.DUMMYFUNCTION("""COMPUTED_VALUE"""),"")</f>
        <v/>
      </c>
      <c r="D608" s="54" t="str">
        <f ca="1">IFERROR(__xludf.DUMMYFUNCTION("""COMPUTED_VALUE"""),"")</f>
        <v/>
      </c>
      <c r="E608" s="55" t="str">
        <f ca="1">IFERROR(__xludf.DUMMYFUNCTION("""COMPUTED_VALUE"""),"")</f>
        <v/>
      </c>
      <c r="F608" s="54" t="str">
        <f ca="1">IFERROR(__xludf.DUMMYFUNCTION("""COMPUTED_VALUE"""),"")</f>
        <v/>
      </c>
      <c r="G608" s="38" t="str">
        <f ca="1">IFERROR(__xludf.DUMMYFUNCTION("""COMPUTED_VALUE"""),"")</f>
        <v/>
      </c>
      <c r="H608" s="38" t="str">
        <f ca="1">IFERROR(__xludf.DUMMYFUNCTION("""COMPUTED_VALUE"""),"")</f>
        <v/>
      </c>
    </row>
    <row r="609" spans="1:8" ht="12.75">
      <c r="A609" s="36" t="str">
        <f ca="1">IFERROR(__xludf.DUMMYFUNCTION("""COMPUTED_VALUE"""),"")</f>
        <v/>
      </c>
      <c r="B609" s="37"/>
      <c r="C609" s="54" t="str">
        <f ca="1">IFERROR(__xludf.DUMMYFUNCTION("""COMPUTED_VALUE"""),"")</f>
        <v/>
      </c>
      <c r="D609" s="54" t="str">
        <f ca="1">IFERROR(__xludf.DUMMYFUNCTION("""COMPUTED_VALUE"""),"")</f>
        <v/>
      </c>
      <c r="E609" s="55" t="str">
        <f ca="1">IFERROR(__xludf.DUMMYFUNCTION("""COMPUTED_VALUE"""),"")</f>
        <v/>
      </c>
      <c r="F609" s="54" t="str">
        <f ca="1">IFERROR(__xludf.DUMMYFUNCTION("""COMPUTED_VALUE"""),"")</f>
        <v/>
      </c>
      <c r="G609" s="38" t="str">
        <f ca="1">IFERROR(__xludf.DUMMYFUNCTION("""COMPUTED_VALUE"""),"")</f>
        <v/>
      </c>
      <c r="H609" s="38" t="str">
        <f ca="1">IFERROR(__xludf.DUMMYFUNCTION("""COMPUTED_VALUE"""),"")</f>
        <v/>
      </c>
    </row>
    <row r="610" spans="1:8" ht="12.75">
      <c r="A610" s="36" t="str">
        <f ca="1">IFERROR(__xludf.DUMMYFUNCTION("""COMPUTED_VALUE"""),"")</f>
        <v/>
      </c>
      <c r="B610" s="37"/>
      <c r="C610" s="54" t="str">
        <f ca="1">IFERROR(__xludf.DUMMYFUNCTION("""COMPUTED_VALUE"""),"")</f>
        <v/>
      </c>
      <c r="D610" s="54" t="str">
        <f ca="1">IFERROR(__xludf.DUMMYFUNCTION("""COMPUTED_VALUE"""),"")</f>
        <v/>
      </c>
      <c r="E610" s="55" t="str">
        <f ca="1">IFERROR(__xludf.DUMMYFUNCTION("""COMPUTED_VALUE"""),"")</f>
        <v/>
      </c>
      <c r="F610" s="54" t="str">
        <f ca="1">IFERROR(__xludf.DUMMYFUNCTION("""COMPUTED_VALUE"""),"")</f>
        <v/>
      </c>
      <c r="G610" s="38" t="str">
        <f ca="1">IFERROR(__xludf.DUMMYFUNCTION("""COMPUTED_VALUE"""),"")</f>
        <v/>
      </c>
      <c r="H610" s="38" t="str">
        <f ca="1">IFERROR(__xludf.DUMMYFUNCTION("""COMPUTED_VALUE"""),"")</f>
        <v/>
      </c>
    </row>
    <row r="611" spans="1:8" ht="12.75">
      <c r="A611" s="36" t="str">
        <f ca="1">IFERROR(__xludf.DUMMYFUNCTION("""COMPUTED_VALUE"""),"")</f>
        <v/>
      </c>
      <c r="B611" s="37"/>
      <c r="C611" s="54" t="str">
        <f ca="1">IFERROR(__xludf.DUMMYFUNCTION("""COMPUTED_VALUE"""),"")</f>
        <v/>
      </c>
      <c r="D611" s="54" t="str">
        <f ca="1">IFERROR(__xludf.DUMMYFUNCTION("""COMPUTED_VALUE"""),"")</f>
        <v/>
      </c>
      <c r="E611" s="55" t="str">
        <f ca="1">IFERROR(__xludf.DUMMYFUNCTION("""COMPUTED_VALUE"""),"")</f>
        <v/>
      </c>
      <c r="F611" s="54" t="str">
        <f ca="1">IFERROR(__xludf.DUMMYFUNCTION("""COMPUTED_VALUE"""),"")</f>
        <v/>
      </c>
      <c r="G611" s="38" t="str">
        <f ca="1">IFERROR(__xludf.DUMMYFUNCTION("""COMPUTED_VALUE"""),"")</f>
        <v/>
      </c>
      <c r="H611" s="38" t="str">
        <f ca="1">IFERROR(__xludf.DUMMYFUNCTION("""COMPUTED_VALUE"""),"")</f>
        <v/>
      </c>
    </row>
    <row r="612" spans="1:8" ht="12.75">
      <c r="A612" s="36" t="str">
        <f ca="1">IFERROR(__xludf.DUMMYFUNCTION("""COMPUTED_VALUE"""),"")</f>
        <v/>
      </c>
      <c r="B612" s="37"/>
      <c r="C612" s="54" t="str">
        <f ca="1">IFERROR(__xludf.DUMMYFUNCTION("""COMPUTED_VALUE"""),"")</f>
        <v/>
      </c>
      <c r="D612" s="54" t="str">
        <f ca="1">IFERROR(__xludf.DUMMYFUNCTION("""COMPUTED_VALUE"""),"")</f>
        <v/>
      </c>
      <c r="E612" s="55" t="str">
        <f ca="1">IFERROR(__xludf.DUMMYFUNCTION("""COMPUTED_VALUE"""),"")</f>
        <v/>
      </c>
      <c r="F612" s="54" t="str">
        <f ca="1">IFERROR(__xludf.DUMMYFUNCTION("""COMPUTED_VALUE"""),"")</f>
        <v/>
      </c>
      <c r="G612" s="38" t="str">
        <f ca="1">IFERROR(__xludf.DUMMYFUNCTION("""COMPUTED_VALUE"""),"")</f>
        <v/>
      </c>
      <c r="H612" s="38" t="str">
        <f ca="1">IFERROR(__xludf.DUMMYFUNCTION("""COMPUTED_VALUE"""),"")</f>
        <v/>
      </c>
    </row>
    <row r="613" spans="1:8" ht="12.75">
      <c r="A613" s="36" t="str">
        <f ca="1">IFERROR(__xludf.DUMMYFUNCTION("""COMPUTED_VALUE"""),"")</f>
        <v/>
      </c>
      <c r="B613" s="37"/>
      <c r="C613" s="54" t="str">
        <f ca="1">IFERROR(__xludf.DUMMYFUNCTION("""COMPUTED_VALUE"""),"")</f>
        <v/>
      </c>
      <c r="D613" s="54" t="str">
        <f ca="1">IFERROR(__xludf.DUMMYFUNCTION("""COMPUTED_VALUE"""),"")</f>
        <v/>
      </c>
      <c r="E613" s="55" t="str">
        <f ca="1">IFERROR(__xludf.DUMMYFUNCTION("""COMPUTED_VALUE"""),"")</f>
        <v/>
      </c>
      <c r="F613" s="54" t="str">
        <f ca="1">IFERROR(__xludf.DUMMYFUNCTION("""COMPUTED_VALUE"""),"")</f>
        <v/>
      </c>
      <c r="G613" s="38" t="str">
        <f ca="1">IFERROR(__xludf.DUMMYFUNCTION("""COMPUTED_VALUE"""),"")</f>
        <v/>
      </c>
      <c r="H613" s="38" t="str">
        <f ca="1">IFERROR(__xludf.DUMMYFUNCTION("""COMPUTED_VALUE"""),"")</f>
        <v/>
      </c>
    </row>
    <row r="614" spans="1:8" ht="12.75">
      <c r="A614" s="36" t="str">
        <f ca="1">IFERROR(__xludf.DUMMYFUNCTION("""COMPUTED_VALUE"""),"")</f>
        <v/>
      </c>
      <c r="B614" s="37"/>
      <c r="C614" s="54" t="str">
        <f ca="1">IFERROR(__xludf.DUMMYFUNCTION("""COMPUTED_VALUE"""),"")</f>
        <v/>
      </c>
      <c r="D614" s="54" t="str">
        <f ca="1">IFERROR(__xludf.DUMMYFUNCTION("""COMPUTED_VALUE"""),"")</f>
        <v/>
      </c>
      <c r="E614" s="55" t="str">
        <f ca="1">IFERROR(__xludf.DUMMYFUNCTION("""COMPUTED_VALUE"""),"")</f>
        <v/>
      </c>
      <c r="F614" s="54" t="str">
        <f ca="1">IFERROR(__xludf.DUMMYFUNCTION("""COMPUTED_VALUE"""),"")</f>
        <v/>
      </c>
      <c r="G614" s="38" t="str">
        <f ca="1">IFERROR(__xludf.DUMMYFUNCTION("""COMPUTED_VALUE"""),"")</f>
        <v/>
      </c>
      <c r="H614" s="38" t="str">
        <f ca="1">IFERROR(__xludf.DUMMYFUNCTION("""COMPUTED_VALUE"""),"")</f>
        <v/>
      </c>
    </row>
    <row r="615" spans="1:8" ht="12.75">
      <c r="A615" s="36" t="str">
        <f ca="1">IFERROR(__xludf.DUMMYFUNCTION("""COMPUTED_VALUE"""),"")</f>
        <v/>
      </c>
      <c r="B615" s="37"/>
      <c r="C615" s="54" t="str">
        <f ca="1">IFERROR(__xludf.DUMMYFUNCTION("""COMPUTED_VALUE"""),"")</f>
        <v/>
      </c>
      <c r="D615" s="54" t="str">
        <f ca="1">IFERROR(__xludf.DUMMYFUNCTION("""COMPUTED_VALUE"""),"")</f>
        <v/>
      </c>
      <c r="E615" s="55" t="str">
        <f ca="1">IFERROR(__xludf.DUMMYFUNCTION("""COMPUTED_VALUE"""),"")</f>
        <v/>
      </c>
      <c r="F615" s="54" t="str">
        <f ca="1">IFERROR(__xludf.DUMMYFUNCTION("""COMPUTED_VALUE"""),"")</f>
        <v/>
      </c>
      <c r="G615" s="38" t="str">
        <f ca="1">IFERROR(__xludf.DUMMYFUNCTION("""COMPUTED_VALUE"""),"")</f>
        <v/>
      </c>
      <c r="H615" s="38" t="str">
        <f ca="1">IFERROR(__xludf.DUMMYFUNCTION("""COMPUTED_VALUE"""),"")</f>
        <v/>
      </c>
    </row>
    <row r="616" spans="1:8" ht="12.75">
      <c r="A616" s="36" t="str">
        <f ca="1">IFERROR(__xludf.DUMMYFUNCTION("""COMPUTED_VALUE"""),"")</f>
        <v/>
      </c>
      <c r="B616" s="37"/>
      <c r="C616" s="54" t="str">
        <f ca="1">IFERROR(__xludf.DUMMYFUNCTION("""COMPUTED_VALUE"""),"")</f>
        <v/>
      </c>
      <c r="D616" s="54" t="str">
        <f ca="1">IFERROR(__xludf.DUMMYFUNCTION("""COMPUTED_VALUE"""),"")</f>
        <v/>
      </c>
      <c r="E616" s="55" t="str">
        <f ca="1">IFERROR(__xludf.DUMMYFUNCTION("""COMPUTED_VALUE"""),"")</f>
        <v/>
      </c>
      <c r="F616" s="54" t="str">
        <f ca="1">IFERROR(__xludf.DUMMYFUNCTION("""COMPUTED_VALUE"""),"")</f>
        <v/>
      </c>
      <c r="G616" s="38" t="str">
        <f ca="1">IFERROR(__xludf.DUMMYFUNCTION("""COMPUTED_VALUE"""),"")</f>
        <v/>
      </c>
      <c r="H616" s="38" t="str">
        <f ca="1">IFERROR(__xludf.DUMMYFUNCTION("""COMPUTED_VALUE"""),"")</f>
        <v/>
      </c>
    </row>
    <row r="617" spans="1:8" ht="12.75">
      <c r="A617" s="36" t="str">
        <f ca="1">IFERROR(__xludf.DUMMYFUNCTION("""COMPUTED_VALUE"""),"")</f>
        <v/>
      </c>
      <c r="B617" s="37"/>
      <c r="C617" s="54" t="str">
        <f ca="1">IFERROR(__xludf.DUMMYFUNCTION("""COMPUTED_VALUE"""),"")</f>
        <v/>
      </c>
      <c r="D617" s="54" t="str">
        <f ca="1">IFERROR(__xludf.DUMMYFUNCTION("""COMPUTED_VALUE"""),"")</f>
        <v/>
      </c>
      <c r="E617" s="55" t="str">
        <f ca="1">IFERROR(__xludf.DUMMYFUNCTION("""COMPUTED_VALUE"""),"")</f>
        <v/>
      </c>
      <c r="F617" s="54" t="str">
        <f ca="1">IFERROR(__xludf.DUMMYFUNCTION("""COMPUTED_VALUE"""),"")</f>
        <v/>
      </c>
      <c r="G617" s="38" t="str">
        <f ca="1">IFERROR(__xludf.DUMMYFUNCTION("""COMPUTED_VALUE"""),"")</f>
        <v/>
      </c>
      <c r="H617" s="38" t="str">
        <f ca="1">IFERROR(__xludf.DUMMYFUNCTION("""COMPUTED_VALUE"""),"")</f>
        <v/>
      </c>
    </row>
    <row r="618" spans="1:8" ht="12.75">
      <c r="A618" s="36" t="str">
        <f ca="1">IFERROR(__xludf.DUMMYFUNCTION("""COMPUTED_VALUE"""),"")</f>
        <v/>
      </c>
      <c r="B618" s="37"/>
      <c r="C618" s="54" t="str">
        <f ca="1">IFERROR(__xludf.DUMMYFUNCTION("""COMPUTED_VALUE"""),"")</f>
        <v/>
      </c>
      <c r="D618" s="54" t="str">
        <f ca="1">IFERROR(__xludf.DUMMYFUNCTION("""COMPUTED_VALUE"""),"")</f>
        <v/>
      </c>
      <c r="E618" s="55" t="str">
        <f ca="1">IFERROR(__xludf.DUMMYFUNCTION("""COMPUTED_VALUE"""),"")</f>
        <v/>
      </c>
      <c r="F618" s="54" t="str">
        <f ca="1">IFERROR(__xludf.DUMMYFUNCTION("""COMPUTED_VALUE"""),"")</f>
        <v/>
      </c>
      <c r="G618" s="38" t="str">
        <f ca="1">IFERROR(__xludf.DUMMYFUNCTION("""COMPUTED_VALUE"""),"")</f>
        <v/>
      </c>
      <c r="H618" s="38" t="str">
        <f ca="1">IFERROR(__xludf.DUMMYFUNCTION("""COMPUTED_VALUE"""),"")</f>
        <v/>
      </c>
    </row>
    <row r="619" spans="1:8" ht="12.75">
      <c r="A619" s="36" t="str">
        <f ca="1">IFERROR(__xludf.DUMMYFUNCTION("""COMPUTED_VALUE"""),"")</f>
        <v/>
      </c>
      <c r="B619" s="37"/>
      <c r="C619" s="54" t="str">
        <f ca="1">IFERROR(__xludf.DUMMYFUNCTION("""COMPUTED_VALUE"""),"")</f>
        <v/>
      </c>
      <c r="D619" s="54" t="str">
        <f ca="1">IFERROR(__xludf.DUMMYFUNCTION("""COMPUTED_VALUE"""),"")</f>
        <v/>
      </c>
      <c r="E619" s="55" t="str">
        <f ca="1">IFERROR(__xludf.DUMMYFUNCTION("""COMPUTED_VALUE"""),"")</f>
        <v/>
      </c>
      <c r="F619" s="54" t="str">
        <f ca="1">IFERROR(__xludf.DUMMYFUNCTION("""COMPUTED_VALUE"""),"")</f>
        <v/>
      </c>
      <c r="G619" s="38" t="str">
        <f ca="1">IFERROR(__xludf.DUMMYFUNCTION("""COMPUTED_VALUE"""),"")</f>
        <v/>
      </c>
      <c r="H619" s="38" t="str">
        <f ca="1">IFERROR(__xludf.DUMMYFUNCTION("""COMPUTED_VALUE"""),"")</f>
        <v/>
      </c>
    </row>
    <row r="620" spans="1:8" ht="12.75">
      <c r="A620" s="36" t="str">
        <f ca="1">IFERROR(__xludf.DUMMYFUNCTION("""COMPUTED_VALUE"""),"")</f>
        <v/>
      </c>
      <c r="B620" s="37"/>
      <c r="C620" s="54" t="str">
        <f ca="1">IFERROR(__xludf.DUMMYFUNCTION("""COMPUTED_VALUE"""),"")</f>
        <v/>
      </c>
      <c r="D620" s="54" t="str">
        <f ca="1">IFERROR(__xludf.DUMMYFUNCTION("""COMPUTED_VALUE"""),"")</f>
        <v/>
      </c>
      <c r="E620" s="55" t="str">
        <f ca="1">IFERROR(__xludf.DUMMYFUNCTION("""COMPUTED_VALUE"""),"")</f>
        <v/>
      </c>
      <c r="F620" s="54" t="str">
        <f ca="1">IFERROR(__xludf.DUMMYFUNCTION("""COMPUTED_VALUE"""),"")</f>
        <v/>
      </c>
      <c r="G620" s="38" t="str">
        <f ca="1">IFERROR(__xludf.DUMMYFUNCTION("""COMPUTED_VALUE"""),"")</f>
        <v/>
      </c>
      <c r="H620" s="38" t="str">
        <f ca="1">IFERROR(__xludf.DUMMYFUNCTION("""COMPUTED_VALUE"""),"")</f>
        <v/>
      </c>
    </row>
    <row r="621" spans="1:8" ht="12.75">
      <c r="A621" s="36" t="str">
        <f ca="1">IFERROR(__xludf.DUMMYFUNCTION("""COMPUTED_VALUE"""),"")</f>
        <v/>
      </c>
      <c r="B621" s="37"/>
      <c r="C621" s="54" t="str">
        <f ca="1">IFERROR(__xludf.DUMMYFUNCTION("""COMPUTED_VALUE"""),"")</f>
        <v/>
      </c>
      <c r="D621" s="54" t="str">
        <f ca="1">IFERROR(__xludf.DUMMYFUNCTION("""COMPUTED_VALUE"""),"")</f>
        <v/>
      </c>
      <c r="E621" s="55" t="str">
        <f ca="1">IFERROR(__xludf.DUMMYFUNCTION("""COMPUTED_VALUE"""),"")</f>
        <v/>
      </c>
      <c r="F621" s="54" t="str">
        <f ca="1">IFERROR(__xludf.DUMMYFUNCTION("""COMPUTED_VALUE"""),"")</f>
        <v/>
      </c>
      <c r="G621" s="38" t="str">
        <f ca="1">IFERROR(__xludf.DUMMYFUNCTION("""COMPUTED_VALUE"""),"")</f>
        <v/>
      </c>
      <c r="H621" s="38" t="str">
        <f ca="1">IFERROR(__xludf.DUMMYFUNCTION("""COMPUTED_VALUE"""),"")</f>
        <v/>
      </c>
    </row>
    <row r="622" spans="1:8" ht="12.75">
      <c r="A622" s="36" t="str">
        <f ca="1">IFERROR(__xludf.DUMMYFUNCTION("""COMPUTED_VALUE"""),"")</f>
        <v/>
      </c>
      <c r="B622" s="37"/>
      <c r="C622" s="54" t="str">
        <f ca="1">IFERROR(__xludf.DUMMYFUNCTION("""COMPUTED_VALUE"""),"")</f>
        <v/>
      </c>
      <c r="D622" s="54" t="str">
        <f ca="1">IFERROR(__xludf.DUMMYFUNCTION("""COMPUTED_VALUE"""),"")</f>
        <v/>
      </c>
      <c r="E622" s="55" t="str">
        <f ca="1">IFERROR(__xludf.DUMMYFUNCTION("""COMPUTED_VALUE"""),"")</f>
        <v/>
      </c>
      <c r="F622" s="54" t="str">
        <f ca="1">IFERROR(__xludf.DUMMYFUNCTION("""COMPUTED_VALUE"""),"")</f>
        <v/>
      </c>
      <c r="G622" s="38" t="str">
        <f ca="1">IFERROR(__xludf.DUMMYFUNCTION("""COMPUTED_VALUE"""),"")</f>
        <v/>
      </c>
      <c r="H622" s="38" t="str">
        <f ca="1">IFERROR(__xludf.DUMMYFUNCTION("""COMPUTED_VALUE"""),"")</f>
        <v/>
      </c>
    </row>
    <row r="623" spans="1:8" ht="12.75">
      <c r="A623" s="36" t="str">
        <f ca="1">IFERROR(__xludf.DUMMYFUNCTION("""COMPUTED_VALUE"""),"")</f>
        <v/>
      </c>
      <c r="B623" s="37"/>
      <c r="C623" s="54" t="str">
        <f ca="1">IFERROR(__xludf.DUMMYFUNCTION("""COMPUTED_VALUE"""),"")</f>
        <v/>
      </c>
      <c r="D623" s="54" t="str">
        <f ca="1">IFERROR(__xludf.DUMMYFUNCTION("""COMPUTED_VALUE"""),"")</f>
        <v/>
      </c>
      <c r="E623" s="55" t="str">
        <f ca="1">IFERROR(__xludf.DUMMYFUNCTION("""COMPUTED_VALUE"""),"")</f>
        <v/>
      </c>
      <c r="F623" s="54" t="str">
        <f ca="1">IFERROR(__xludf.DUMMYFUNCTION("""COMPUTED_VALUE"""),"")</f>
        <v/>
      </c>
      <c r="G623" s="38" t="str">
        <f ca="1">IFERROR(__xludf.DUMMYFUNCTION("""COMPUTED_VALUE"""),"")</f>
        <v/>
      </c>
      <c r="H623" s="38" t="str">
        <f ca="1">IFERROR(__xludf.DUMMYFUNCTION("""COMPUTED_VALUE"""),"")</f>
        <v/>
      </c>
    </row>
    <row r="624" spans="1:8" ht="12.75">
      <c r="A624" s="36" t="str">
        <f ca="1">IFERROR(__xludf.DUMMYFUNCTION("""COMPUTED_VALUE"""),"")</f>
        <v/>
      </c>
      <c r="B624" s="37"/>
      <c r="C624" s="54" t="str">
        <f ca="1">IFERROR(__xludf.DUMMYFUNCTION("""COMPUTED_VALUE"""),"")</f>
        <v/>
      </c>
      <c r="D624" s="54" t="str">
        <f ca="1">IFERROR(__xludf.DUMMYFUNCTION("""COMPUTED_VALUE"""),"")</f>
        <v/>
      </c>
      <c r="E624" s="55" t="str">
        <f ca="1">IFERROR(__xludf.DUMMYFUNCTION("""COMPUTED_VALUE"""),"")</f>
        <v/>
      </c>
      <c r="F624" s="54" t="str">
        <f ca="1">IFERROR(__xludf.DUMMYFUNCTION("""COMPUTED_VALUE"""),"")</f>
        <v/>
      </c>
      <c r="G624" s="38" t="str">
        <f ca="1">IFERROR(__xludf.DUMMYFUNCTION("""COMPUTED_VALUE"""),"")</f>
        <v/>
      </c>
      <c r="H624" s="38" t="str">
        <f ca="1">IFERROR(__xludf.DUMMYFUNCTION("""COMPUTED_VALUE"""),"")</f>
        <v/>
      </c>
    </row>
    <row r="625" spans="1:8" ht="12.75">
      <c r="A625" s="36" t="str">
        <f ca="1">IFERROR(__xludf.DUMMYFUNCTION("""COMPUTED_VALUE"""),"")</f>
        <v/>
      </c>
      <c r="B625" s="37"/>
      <c r="C625" s="54" t="str">
        <f ca="1">IFERROR(__xludf.DUMMYFUNCTION("""COMPUTED_VALUE"""),"")</f>
        <v/>
      </c>
      <c r="D625" s="54" t="str">
        <f ca="1">IFERROR(__xludf.DUMMYFUNCTION("""COMPUTED_VALUE"""),"")</f>
        <v/>
      </c>
      <c r="E625" s="55" t="str">
        <f ca="1">IFERROR(__xludf.DUMMYFUNCTION("""COMPUTED_VALUE"""),"")</f>
        <v/>
      </c>
      <c r="F625" s="54" t="str">
        <f ca="1">IFERROR(__xludf.DUMMYFUNCTION("""COMPUTED_VALUE"""),"")</f>
        <v/>
      </c>
      <c r="G625" s="38" t="str">
        <f ca="1">IFERROR(__xludf.DUMMYFUNCTION("""COMPUTED_VALUE"""),"")</f>
        <v/>
      </c>
      <c r="H625" s="38" t="str">
        <f ca="1">IFERROR(__xludf.DUMMYFUNCTION("""COMPUTED_VALUE"""),"")</f>
        <v/>
      </c>
    </row>
    <row r="626" spans="1:8" ht="12.75">
      <c r="A626" s="36" t="str">
        <f ca="1">IFERROR(__xludf.DUMMYFUNCTION("""COMPUTED_VALUE"""),"")</f>
        <v/>
      </c>
      <c r="B626" s="37"/>
      <c r="C626" s="54" t="str">
        <f ca="1">IFERROR(__xludf.DUMMYFUNCTION("""COMPUTED_VALUE"""),"")</f>
        <v/>
      </c>
      <c r="D626" s="54" t="str">
        <f ca="1">IFERROR(__xludf.DUMMYFUNCTION("""COMPUTED_VALUE"""),"")</f>
        <v/>
      </c>
      <c r="E626" s="55" t="str">
        <f ca="1">IFERROR(__xludf.DUMMYFUNCTION("""COMPUTED_VALUE"""),"")</f>
        <v/>
      </c>
      <c r="F626" s="54" t="str">
        <f ca="1">IFERROR(__xludf.DUMMYFUNCTION("""COMPUTED_VALUE"""),"")</f>
        <v/>
      </c>
      <c r="G626" s="38" t="str">
        <f ca="1">IFERROR(__xludf.DUMMYFUNCTION("""COMPUTED_VALUE"""),"")</f>
        <v/>
      </c>
      <c r="H626" s="38" t="str">
        <f ca="1">IFERROR(__xludf.DUMMYFUNCTION("""COMPUTED_VALUE"""),"")</f>
        <v/>
      </c>
    </row>
    <row r="627" spans="1:8" ht="12.75">
      <c r="A627" s="36" t="str">
        <f ca="1">IFERROR(__xludf.DUMMYFUNCTION("""COMPUTED_VALUE"""),"")</f>
        <v/>
      </c>
      <c r="B627" s="37"/>
      <c r="C627" s="54" t="str">
        <f ca="1">IFERROR(__xludf.DUMMYFUNCTION("""COMPUTED_VALUE"""),"")</f>
        <v/>
      </c>
      <c r="D627" s="54" t="str">
        <f ca="1">IFERROR(__xludf.DUMMYFUNCTION("""COMPUTED_VALUE"""),"")</f>
        <v/>
      </c>
      <c r="E627" s="55" t="str">
        <f ca="1">IFERROR(__xludf.DUMMYFUNCTION("""COMPUTED_VALUE"""),"")</f>
        <v/>
      </c>
      <c r="F627" s="54" t="str">
        <f ca="1">IFERROR(__xludf.DUMMYFUNCTION("""COMPUTED_VALUE"""),"")</f>
        <v/>
      </c>
      <c r="G627" s="38" t="str">
        <f ca="1">IFERROR(__xludf.DUMMYFUNCTION("""COMPUTED_VALUE"""),"")</f>
        <v/>
      </c>
      <c r="H627" s="38" t="str">
        <f ca="1">IFERROR(__xludf.DUMMYFUNCTION("""COMPUTED_VALUE"""),"")</f>
        <v/>
      </c>
    </row>
    <row r="628" spans="1:8" ht="12.75">
      <c r="A628" s="36" t="str">
        <f ca="1">IFERROR(__xludf.DUMMYFUNCTION("""COMPUTED_VALUE"""),"")</f>
        <v/>
      </c>
      <c r="B628" s="37"/>
      <c r="C628" s="54" t="str">
        <f ca="1">IFERROR(__xludf.DUMMYFUNCTION("""COMPUTED_VALUE"""),"")</f>
        <v/>
      </c>
      <c r="D628" s="54" t="str">
        <f ca="1">IFERROR(__xludf.DUMMYFUNCTION("""COMPUTED_VALUE"""),"")</f>
        <v/>
      </c>
      <c r="E628" s="55" t="str">
        <f ca="1">IFERROR(__xludf.DUMMYFUNCTION("""COMPUTED_VALUE"""),"")</f>
        <v/>
      </c>
      <c r="F628" s="54" t="str">
        <f ca="1">IFERROR(__xludf.DUMMYFUNCTION("""COMPUTED_VALUE"""),"")</f>
        <v/>
      </c>
      <c r="G628" s="38" t="str">
        <f ca="1">IFERROR(__xludf.DUMMYFUNCTION("""COMPUTED_VALUE"""),"")</f>
        <v/>
      </c>
      <c r="H628" s="38" t="str">
        <f ca="1">IFERROR(__xludf.DUMMYFUNCTION("""COMPUTED_VALUE"""),"")</f>
        <v/>
      </c>
    </row>
    <row r="629" spans="1:8" ht="12.75">
      <c r="A629" s="36" t="str">
        <f ca="1">IFERROR(__xludf.DUMMYFUNCTION("""COMPUTED_VALUE"""),"")</f>
        <v/>
      </c>
      <c r="B629" s="37"/>
      <c r="C629" s="54" t="str">
        <f ca="1">IFERROR(__xludf.DUMMYFUNCTION("""COMPUTED_VALUE"""),"")</f>
        <v/>
      </c>
      <c r="D629" s="54" t="str">
        <f ca="1">IFERROR(__xludf.DUMMYFUNCTION("""COMPUTED_VALUE"""),"")</f>
        <v/>
      </c>
      <c r="E629" s="55" t="str">
        <f ca="1">IFERROR(__xludf.DUMMYFUNCTION("""COMPUTED_VALUE"""),"")</f>
        <v/>
      </c>
      <c r="F629" s="54" t="str">
        <f ca="1">IFERROR(__xludf.DUMMYFUNCTION("""COMPUTED_VALUE"""),"")</f>
        <v/>
      </c>
      <c r="G629" s="38" t="str">
        <f ca="1">IFERROR(__xludf.DUMMYFUNCTION("""COMPUTED_VALUE"""),"")</f>
        <v/>
      </c>
      <c r="H629" s="38" t="str">
        <f ca="1">IFERROR(__xludf.DUMMYFUNCTION("""COMPUTED_VALUE"""),"")</f>
        <v/>
      </c>
    </row>
    <row r="630" spans="1:8" ht="12.75">
      <c r="A630" s="36" t="str">
        <f ca="1">IFERROR(__xludf.DUMMYFUNCTION("""COMPUTED_VALUE"""),"")</f>
        <v/>
      </c>
      <c r="B630" s="37"/>
      <c r="C630" s="54" t="str">
        <f ca="1">IFERROR(__xludf.DUMMYFUNCTION("""COMPUTED_VALUE"""),"")</f>
        <v/>
      </c>
      <c r="D630" s="54" t="str">
        <f ca="1">IFERROR(__xludf.DUMMYFUNCTION("""COMPUTED_VALUE"""),"")</f>
        <v/>
      </c>
      <c r="E630" s="55" t="str">
        <f ca="1">IFERROR(__xludf.DUMMYFUNCTION("""COMPUTED_VALUE"""),"")</f>
        <v/>
      </c>
      <c r="F630" s="54" t="str">
        <f ca="1">IFERROR(__xludf.DUMMYFUNCTION("""COMPUTED_VALUE"""),"")</f>
        <v/>
      </c>
      <c r="G630" s="38" t="str">
        <f ca="1">IFERROR(__xludf.DUMMYFUNCTION("""COMPUTED_VALUE"""),"")</f>
        <v/>
      </c>
      <c r="H630" s="38" t="str">
        <f ca="1">IFERROR(__xludf.DUMMYFUNCTION("""COMPUTED_VALUE"""),"")</f>
        <v/>
      </c>
    </row>
    <row r="631" spans="1:8" ht="12.75">
      <c r="A631" s="36" t="str">
        <f ca="1">IFERROR(__xludf.DUMMYFUNCTION("""COMPUTED_VALUE"""),"")</f>
        <v/>
      </c>
      <c r="B631" s="37"/>
      <c r="C631" s="54" t="str">
        <f ca="1">IFERROR(__xludf.DUMMYFUNCTION("""COMPUTED_VALUE"""),"")</f>
        <v/>
      </c>
      <c r="D631" s="54" t="str">
        <f ca="1">IFERROR(__xludf.DUMMYFUNCTION("""COMPUTED_VALUE"""),"")</f>
        <v/>
      </c>
      <c r="E631" s="55" t="str">
        <f ca="1">IFERROR(__xludf.DUMMYFUNCTION("""COMPUTED_VALUE"""),"")</f>
        <v/>
      </c>
      <c r="F631" s="54" t="str">
        <f ca="1">IFERROR(__xludf.DUMMYFUNCTION("""COMPUTED_VALUE"""),"")</f>
        <v/>
      </c>
      <c r="G631" s="38" t="str">
        <f ca="1">IFERROR(__xludf.DUMMYFUNCTION("""COMPUTED_VALUE"""),"")</f>
        <v/>
      </c>
      <c r="H631" s="38" t="str">
        <f ca="1">IFERROR(__xludf.DUMMYFUNCTION("""COMPUTED_VALUE"""),"")</f>
        <v/>
      </c>
    </row>
    <row r="632" spans="1:8" ht="12.75">
      <c r="A632" s="36" t="str">
        <f ca="1">IFERROR(__xludf.DUMMYFUNCTION("""COMPUTED_VALUE"""),"")</f>
        <v/>
      </c>
      <c r="B632" s="37"/>
      <c r="C632" s="54" t="str">
        <f ca="1">IFERROR(__xludf.DUMMYFUNCTION("""COMPUTED_VALUE"""),"")</f>
        <v/>
      </c>
      <c r="D632" s="54" t="str">
        <f ca="1">IFERROR(__xludf.DUMMYFUNCTION("""COMPUTED_VALUE"""),"")</f>
        <v/>
      </c>
      <c r="E632" s="55" t="str">
        <f ca="1">IFERROR(__xludf.DUMMYFUNCTION("""COMPUTED_VALUE"""),"")</f>
        <v/>
      </c>
      <c r="F632" s="54" t="str">
        <f ca="1">IFERROR(__xludf.DUMMYFUNCTION("""COMPUTED_VALUE"""),"")</f>
        <v/>
      </c>
      <c r="G632" s="38" t="str">
        <f ca="1">IFERROR(__xludf.DUMMYFUNCTION("""COMPUTED_VALUE"""),"")</f>
        <v/>
      </c>
      <c r="H632" s="38" t="str">
        <f ca="1">IFERROR(__xludf.DUMMYFUNCTION("""COMPUTED_VALUE"""),"")</f>
        <v/>
      </c>
    </row>
    <row r="633" spans="1:8" ht="12.75">
      <c r="A633" s="36" t="str">
        <f ca="1">IFERROR(__xludf.DUMMYFUNCTION("""COMPUTED_VALUE"""),"")</f>
        <v/>
      </c>
      <c r="B633" s="37"/>
      <c r="C633" s="54" t="str">
        <f ca="1">IFERROR(__xludf.DUMMYFUNCTION("""COMPUTED_VALUE"""),"")</f>
        <v/>
      </c>
      <c r="D633" s="54" t="str">
        <f ca="1">IFERROR(__xludf.DUMMYFUNCTION("""COMPUTED_VALUE"""),"")</f>
        <v/>
      </c>
      <c r="E633" s="55" t="str">
        <f ca="1">IFERROR(__xludf.DUMMYFUNCTION("""COMPUTED_VALUE"""),"")</f>
        <v/>
      </c>
      <c r="F633" s="54" t="str">
        <f ca="1">IFERROR(__xludf.DUMMYFUNCTION("""COMPUTED_VALUE"""),"")</f>
        <v/>
      </c>
      <c r="G633" s="38" t="str">
        <f ca="1">IFERROR(__xludf.DUMMYFUNCTION("""COMPUTED_VALUE"""),"")</f>
        <v/>
      </c>
      <c r="H633" s="38" t="str">
        <f ca="1">IFERROR(__xludf.DUMMYFUNCTION("""COMPUTED_VALUE"""),"")</f>
        <v/>
      </c>
    </row>
    <row r="634" spans="1:8" ht="12.75">
      <c r="A634" s="36" t="str">
        <f ca="1">IFERROR(__xludf.DUMMYFUNCTION("""COMPUTED_VALUE"""),"")</f>
        <v/>
      </c>
      <c r="B634" s="37"/>
      <c r="C634" s="54" t="str">
        <f ca="1">IFERROR(__xludf.DUMMYFUNCTION("""COMPUTED_VALUE"""),"")</f>
        <v/>
      </c>
      <c r="D634" s="54" t="str">
        <f ca="1">IFERROR(__xludf.DUMMYFUNCTION("""COMPUTED_VALUE"""),"")</f>
        <v/>
      </c>
      <c r="E634" s="55" t="str">
        <f ca="1">IFERROR(__xludf.DUMMYFUNCTION("""COMPUTED_VALUE"""),"")</f>
        <v/>
      </c>
      <c r="F634" s="54" t="str">
        <f ca="1">IFERROR(__xludf.DUMMYFUNCTION("""COMPUTED_VALUE"""),"")</f>
        <v/>
      </c>
      <c r="G634" s="38" t="str">
        <f ca="1">IFERROR(__xludf.DUMMYFUNCTION("""COMPUTED_VALUE"""),"")</f>
        <v/>
      </c>
      <c r="H634" s="38" t="str">
        <f ca="1">IFERROR(__xludf.DUMMYFUNCTION("""COMPUTED_VALUE"""),"")</f>
        <v/>
      </c>
    </row>
    <row r="635" spans="1:8" ht="12.75">
      <c r="A635" s="36" t="str">
        <f ca="1">IFERROR(__xludf.DUMMYFUNCTION("""COMPUTED_VALUE"""),"")</f>
        <v/>
      </c>
      <c r="B635" s="37"/>
      <c r="C635" s="54" t="str">
        <f ca="1">IFERROR(__xludf.DUMMYFUNCTION("""COMPUTED_VALUE"""),"")</f>
        <v/>
      </c>
      <c r="D635" s="54" t="str">
        <f ca="1">IFERROR(__xludf.DUMMYFUNCTION("""COMPUTED_VALUE"""),"")</f>
        <v/>
      </c>
      <c r="E635" s="55" t="str">
        <f ca="1">IFERROR(__xludf.DUMMYFUNCTION("""COMPUTED_VALUE"""),"")</f>
        <v/>
      </c>
      <c r="F635" s="54" t="str">
        <f ca="1">IFERROR(__xludf.DUMMYFUNCTION("""COMPUTED_VALUE"""),"")</f>
        <v/>
      </c>
      <c r="G635" s="38" t="str">
        <f ca="1">IFERROR(__xludf.DUMMYFUNCTION("""COMPUTED_VALUE"""),"")</f>
        <v/>
      </c>
      <c r="H635" s="38" t="str">
        <f ca="1">IFERROR(__xludf.DUMMYFUNCTION("""COMPUTED_VALUE"""),"")</f>
        <v/>
      </c>
    </row>
    <row r="636" spans="1:8" ht="12.75">
      <c r="A636" s="36" t="str">
        <f ca="1">IFERROR(__xludf.DUMMYFUNCTION("""COMPUTED_VALUE"""),"")</f>
        <v/>
      </c>
      <c r="B636" s="37"/>
      <c r="C636" s="54" t="str">
        <f ca="1">IFERROR(__xludf.DUMMYFUNCTION("""COMPUTED_VALUE"""),"")</f>
        <v/>
      </c>
      <c r="D636" s="54" t="str">
        <f ca="1">IFERROR(__xludf.DUMMYFUNCTION("""COMPUTED_VALUE"""),"")</f>
        <v/>
      </c>
      <c r="E636" s="55" t="str">
        <f ca="1">IFERROR(__xludf.DUMMYFUNCTION("""COMPUTED_VALUE"""),"")</f>
        <v/>
      </c>
      <c r="F636" s="54" t="str">
        <f ca="1">IFERROR(__xludf.DUMMYFUNCTION("""COMPUTED_VALUE"""),"")</f>
        <v/>
      </c>
      <c r="G636" s="38" t="str">
        <f ca="1">IFERROR(__xludf.DUMMYFUNCTION("""COMPUTED_VALUE"""),"")</f>
        <v/>
      </c>
      <c r="H636" s="38" t="str">
        <f ca="1">IFERROR(__xludf.DUMMYFUNCTION("""COMPUTED_VALUE"""),"")</f>
        <v/>
      </c>
    </row>
    <row r="637" spans="1:8" ht="12.75">
      <c r="A637" s="36" t="str">
        <f ca="1">IFERROR(__xludf.DUMMYFUNCTION("""COMPUTED_VALUE"""),"")</f>
        <v/>
      </c>
      <c r="B637" s="37"/>
      <c r="C637" s="54" t="str">
        <f ca="1">IFERROR(__xludf.DUMMYFUNCTION("""COMPUTED_VALUE"""),"")</f>
        <v/>
      </c>
      <c r="D637" s="54" t="str">
        <f ca="1">IFERROR(__xludf.DUMMYFUNCTION("""COMPUTED_VALUE"""),"")</f>
        <v/>
      </c>
      <c r="E637" s="55" t="str">
        <f ca="1">IFERROR(__xludf.DUMMYFUNCTION("""COMPUTED_VALUE"""),"")</f>
        <v/>
      </c>
      <c r="F637" s="54" t="str">
        <f ca="1">IFERROR(__xludf.DUMMYFUNCTION("""COMPUTED_VALUE"""),"")</f>
        <v/>
      </c>
      <c r="G637" s="38" t="str">
        <f ca="1">IFERROR(__xludf.DUMMYFUNCTION("""COMPUTED_VALUE"""),"")</f>
        <v/>
      </c>
      <c r="H637" s="38" t="str">
        <f ca="1">IFERROR(__xludf.DUMMYFUNCTION("""COMPUTED_VALUE"""),"")</f>
        <v/>
      </c>
    </row>
    <row r="638" spans="1:8" ht="12.75">
      <c r="A638" s="36" t="str">
        <f ca="1">IFERROR(__xludf.DUMMYFUNCTION("""COMPUTED_VALUE"""),"")</f>
        <v/>
      </c>
      <c r="B638" s="37"/>
      <c r="C638" s="54" t="str">
        <f ca="1">IFERROR(__xludf.DUMMYFUNCTION("""COMPUTED_VALUE"""),"")</f>
        <v/>
      </c>
      <c r="D638" s="54" t="str">
        <f ca="1">IFERROR(__xludf.DUMMYFUNCTION("""COMPUTED_VALUE"""),"")</f>
        <v/>
      </c>
      <c r="E638" s="55" t="str">
        <f ca="1">IFERROR(__xludf.DUMMYFUNCTION("""COMPUTED_VALUE"""),"")</f>
        <v/>
      </c>
      <c r="F638" s="54" t="str">
        <f ca="1">IFERROR(__xludf.DUMMYFUNCTION("""COMPUTED_VALUE"""),"")</f>
        <v/>
      </c>
      <c r="G638" s="38" t="str">
        <f ca="1">IFERROR(__xludf.DUMMYFUNCTION("""COMPUTED_VALUE"""),"")</f>
        <v/>
      </c>
      <c r="H638" s="38" t="str">
        <f ca="1">IFERROR(__xludf.DUMMYFUNCTION("""COMPUTED_VALUE"""),"")</f>
        <v/>
      </c>
    </row>
    <row r="639" spans="1:8" ht="12.75">
      <c r="A639" s="36" t="str">
        <f ca="1">IFERROR(__xludf.DUMMYFUNCTION("""COMPUTED_VALUE"""),"")</f>
        <v/>
      </c>
      <c r="B639" s="37"/>
      <c r="C639" s="54" t="str">
        <f ca="1">IFERROR(__xludf.DUMMYFUNCTION("""COMPUTED_VALUE"""),"")</f>
        <v/>
      </c>
      <c r="D639" s="54" t="str">
        <f ca="1">IFERROR(__xludf.DUMMYFUNCTION("""COMPUTED_VALUE"""),"")</f>
        <v/>
      </c>
      <c r="E639" s="55" t="str">
        <f ca="1">IFERROR(__xludf.DUMMYFUNCTION("""COMPUTED_VALUE"""),"")</f>
        <v/>
      </c>
      <c r="F639" s="54" t="str">
        <f ca="1">IFERROR(__xludf.DUMMYFUNCTION("""COMPUTED_VALUE"""),"")</f>
        <v/>
      </c>
      <c r="G639" s="38" t="str">
        <f ca="1">IFERROR(__xludf.DUMMYFUNCTION("""COMPUTED_VALUE"""),"")</f>
        <v/>
      </c>
      <c r="H639" s="38" t="str">
        <f ca="1">IFERROR(__xludf.DUMMYFUNCTION("""COMPUTED_VALUE"""),"")</f>
        <v/>
      </c>
    </row>
    <row r="640" spans="1:8" ht="12.75">
      <c r="A640" s="36" t="str">
        <f ca="1">IFERROR(__xludf.DUMMYFUNCTION("""COMPUTED_VALUE"""),"")</f>
        <v/>
      </c>
      <c r="B640" s="37"/>
      <c r="C640" s="54" t="str">
        <f ca="1">IFERROR(__xludf.DUMMYFUNCTION("""COMPUTED_VALUE"""),"")</f>
        <v/>
      </c>
      <c r="D640" s="54" t="str">
        <f ca="1">IFERROR(__xludf.DUMMYFUNCTION("""COMPUTED_VALUE"""),"")</f>
        <v/>
      </c>
      <c r="E640" s="55" t="str">
        <f ca="1">IFERROR(__xludf.DUMMYFUNCTION("""COMPUTED_VALUE"""),"")</f>
        <v/>
      </c>
      <c r="F640" s="54" t="str">
        <f ca="1">IFERROR(__xludf.DUMMYFUNCTION("""COMPUTED_VALUE"""),"")</f>
        <v/>
      </c>
      <c r="G640" s="38" t="str">
        <f ca="1">IFERROR(__xludf.DUMMYFUNCTION("""COMPUTED_VALUE"""),"")</f>
        <v/>
      </c>
      <c r="H640" s="38" t="str">
        <f ca="1">IFERROR(__xludf.DUMMYFUNCTION("""COMPUTED_VALUE"""),"")</f>
        <v/>
      </c>
    </row>
    <row r="641" spans="1:8" ht="12.75">
      <c r="A641" s="36" t="str">
        <f ca="1">IFERROR(__xludf.DUMMYFUNCTION("""COMPUTED_VALUE"""),"")</f>
        <v/>
      </c>
      <c r="B641" s="37"/>
      <c r="C641" s="54" t="str">
        <f ca="1">IFERROR(__xludf.DUMMYFUNCTION("""COMPUTED_VALUE"""),"")</f>
        <v/>
      </c>
      <c r="D641" s="54" t="str">
        <f ca="1">IFERROR(__xludf.DUMMYFUNCTION("""COMPUTED_VALUE"""),"")</f>
        <v/>
      </c>
      <c r="E641" s="55" t="str">
        <f ca="1">IFERROR(__xludf.DUMMYFUNCTION("""COMPUTED_VALUE"""),"")</f>
        <v/>
      </c>
      <c r="F641" s="54" t="str">
        <f ca="1">IFERROR(__xludf.DUMMYFUNCTION("""COMPUTED_VALUE"""),"")</f>
        <v/>
      </c>
      <c r="G641" s="38" t="str">
        <f ca="1">IFERROR(__xludf.DUMMYFUNCTION("""COMPUTED_VALUE"""),"")</f>
        <v/>
      </c>
      <c r="H641" s="38" t="str">
        <f ca="1">IFERROR(__xludf.DUMMYFUNCTION("""COMPUTED_VALUE"""),"")</f>
        <v/>
      </c>
    </row>
    <row r="642" spans="1:8" ht="12.75">
      <c r="A642" s="36" t="str">
        <f ca="1">IFERROR(__xludf.DUMMYFUNCTION("""COMPUTED_VALUE"""),"")</f>
        <v/>
      </c>
      <c r="B642" s="37"/>
      <c r="C642" s="54" t="str">
        <f ca="1">IFERROR(__xludf.DUMMYFUNCTION("""COMPUTED_VALUE"""),"")</f>
        <v/>
      </c>
      <c r="D642" s="54" t="str">
        <f ca="1">IFERROR(__xludf.DUMMYFUNCTION("""COMPUTED_VALUE"""),"")</f>
        <v/>
      </c>
      <c r="E642" s="55" t="str">
        <f ca="1">IFERROR(__xludf.DUMMYFUNCTION("""COMPUTED_VALUE"""),"")</f>
        <v/>
      </c>
      <c r="F642" s="54" t="str">
        <f ca="1">IFERROR(__xludf.DUMMYFUNCTION("""COMPUTED_VALUE"""),"")</f>
        <v/>
      </c>
      <c r="G642" s="38" t="str">
        <f ca="1">IFERROR(__xludf.DUMMYFUNCTION("""COMPUTED_VALUE"""),"")</f>
        <v/>
      </c>
      <c r="H642" s="38" t="str">
        <f ca="1">IFERROR(__xludf.DUMMYFUNCTION("""COMPUTED_VALUE"""),"")</f>
        <v/>
      </c>
    </row>
    <row r="643" spans="1:8" ht="12.75">
      <c r="A643" s="36" t="str">
        <f ca="1">IFERROR(__xludf.DUMMYFUNCTION("""COMPUTED_VALUE"""),"")</f>
        <v/>
      </c>
      <c r="B643" s="37"/>
      <c r="C643" s="54" t="str">
        <f ca="1">IFERROR(__xludf.DUMMYFUNCTION("""COMPUTED_VALUE"""),"")</f>
        <v/>
      </c>
      <c r="D643" s="54" t="str">
        <f ca="1">IFERROR(__xludf.DUMMYFUNCTION("""COMPUTED_VALUE"""),"")</f>
        <v/>
      </c>
      <c r="E643" s="55" t="str">
        <f ca="1">IFERROR(__xludf.DUMMYFUNCTION("""COMPUTED_VALUE"""),"")</f>
        <v/>
      </c>
      <c r="F643" s="54" t="str">
        <f ca="1">IFERROR(__xludf.DUMMYFUNCTION("""COMPUTED_VALUE"""),"")</f>
        <v/>
      </c>
      <c r="G643" s="38" t="str">
        <f ca="1">IFERROR(__xludf.DUMMYFUNCTION("""COMPUTED_VALUE"""),"")</f>
        <v/>
      </c>
      <c r="H643" s="38" t="str">
        <f ca="1">IFERROR(__xludf.DUMMYFUNCTION("""COMPUTED_VALUE"""),"")</f>
        <v/>
      </c>
    </row>
    <row r="644" spans="1:8" ht="12.75">
      <c r="A644" s="36" t="str">
        <f ca="1">IFERROR(__xludf.DUMMYFUNCTION("""COMPUTED_VALUE"""),"")</f>
        <v/>
      </c>
      <c r="B644" s="37"/>
      <c r="C644" s="54" t="str">
        <f ca="1">IFERROR(__xludf.DUMMYFUNCTION("""COMPUTED_VALUE"""),"")</f>
        <v/>
      </c>
      <c r="D644" s="54" t="str">
        <f ca="1">IFERROR(__xludf.DUMMYFUNCTION("""COMPUTED_VALUE"""),"")</f>
        <v/>
      </c>
      <c r="E644" s="55" t="str">
        <f ca="1">IFERROR(__xludf.DUMMYFUNCTION("""COMPUTED_VALUE"""),"")</f>
        <v/>
      </c>
      <c r="F644" s="54" t="str">
        <f ca="1">IFERROR(__xludf.DUMMYFUNCTION("""COMPUTED_VALUE"""),"")</f>
        <v/>
      </c>
      <c r="G644" s="38" t="str">
        <f ca="1">IFERROR(__xludf.DUMMYFUNCTION("""COMPUTED_VALUE"""),"")</f>
        <v/>
      </c>
      <c r="H644" s="38" t="str">
        <f ca="1">IFERROR(__xludf.DUMMYFUNCTION("""COMPUTED_VALUE"""),"")</f>
        <v/>
      </c>
    </row>
    <row r="645" spans="1:8" ht="12.75">
      <c r="A645" s="36" t="str">
        <f ca="1">IFERROR(__xludf.DUMMYFUNCTION("""COMPUTED_VALUE"""),"")</f>
        <v/>
      </c>
      <c r="B645" s="37"/>
      <c r="C645" s="54" t="str">
        <f ca="1">IFERROR(__xludf.DUMMYFUNCTION("""COMPUTED_VALUE"""),"")</f>
        <v/>
      </c>
      <c r="D645" s="54" t="str">
        <f ca="1">IFERROR(__xludf.DUMMYFUNCTION("""COMPUTED_VALUE"""),"")</f>
        <v/>
      </c>
      <c r="E645" s="55" t="str">
        <f ca="1">IFERROR(__xludf.DUMMYFUNCTION("""COMPUTED_VALUE"""),"")</f>
        <v/>
      </c>
      <c r="F645" s="54" t="str">
        <f ca="1">IFERROR(__xludf.DUMMYFUNCTION("""COMPUTED_VALUE"""),"")</f>
        <v/>
      </c>
      <c r="G645" s="38" t="str">
        <f ca="1">IFERROR(__xludf.DUMMYFUNCTION("""COMPUTED_VALUE"""),"")</f>
        <v/>
      </c>
      <c r="H645" s="38" t="str">
        <f ca="1">IFERROR(__xludf.DUMMYFUNCTION("""COMPUTED_VALUE"""),"")</f>
        <v/>
      </c>
    </row>
    <row r="646" spans="1:8" ht="12.75">
      <c r="A646" s="36" t="str">
        <f ca="1">IFERROR(__xludf.DUMMYFUNCTION("""COMPUTED_VALUE"""),"")</f>
        <v/>
      </c>
      <c r="B646" s="37"/>
      <c r="C646" s="54" t="str">
        <f ca="1">IFERROR(__xludf.DUMMYFUNCTION("""COMPUTED_VALUE"""),"")</f>
        <v/>
      </c>
      <c r="D646" s="54" t="str">
        <f ca="1">IFERROR(__xludf.DUMMYFUNCTION("""COMPUTED_VALUE"""),"")</f>
        <v/>
      </c>
      <c r="E646" s="55" t="str">
        <f ca="1">IFERROR(__xludf.DUMMYFUNCTION("""COMPUTED_VALUE"""),"")</f>
        <v/>
      </c>
      <c r="F646" s="54" t="str">
        <f ca="1">IFERROR(__xludf.DUMMYFUNCTION("""COMPUTED_VALUE"""),"")</f>
        <v/>
      </c>
      <c r="G646" s="38" t="str">
        <f ca="1">IFERROR(__xludf.DUMMYFUNCTION("""COMPUTED_VALUE"""),"")</f>
        <v/>
      </c>
      <c r="H646" s="38" t="str">
        <f ca="1">IFERROR(__xludf.DUMMYFUNCTION("""COMPUTED_VALUE"""),"")</f>
        <v/>
      </c>
    </row>
    <row r="647" spans="1:8" ht="12.75">
      <c r="A647" s="36" t="str">
        <f ca="1">IFERROR(__xludf.DUMMYFUNCTION("""COMPUTED_VALUE"""),"")</f>
        <v/>
      </c>
      <c r="B647" s="37"/>
      <c r="C647" s="54" t="str">
        <f ca="1">IFERROR(__xludf.DUMMYFUNCTION("""COMPUTED_VALUE"""),"")</f>
        <v/>
      </c>
      <c r="D647" s="54" t="str">
        <f ca="1">IFERROR(__xludf.DUMMYFUNCTION("""COMPUTED_VALUE"""),"")</f>
        <v/>
      </c>
      <c r="E647" s="55" t="str">
        <f ca="1">IFERROR(__xludf.DUMMYFUNCTION("""COMPUTED_VALUE"""),"")</f>
        <v/>
      </c>
      <c r="F647" s="54" t="str">
        <f ca="1">IFERROR(__xludf.DUMMYFUNCTION("""COMPUTED_VALUE"""),"")</f>
        <v/>
      </c>
      <c r="G647" s="38" t="str">
        <f ca="1">IFERROR(__xludf.DUMMYFUNCTION("""COMPUTED_VALUE"""),"")</f>
        <v/>
      </c>
      <c r="H647" s="38" t="str">
        <f ca="1">IFERROR(__xludf.DUMMYFUNCTION("""COMPUTED_VALUE"""),"")</f>
        <v/>
      </c>
    </row>
    <row r="648" spans="1:8" ht="12.75">
      <c r="A648" s="36" t="str">
        <f ca="1">IFERROR(__xludf.DUMMYFUNCTION("""COMPUTED_VALUE"""),"")</f>
        <v/>
      </c>
      <c r="B648" s="37"/>
      <c r="C648" s="54" t="str">
        <f ca="1">IFERROR(__xludf.DUMMYFUNCTION("""COMPUTED_VALUE"""),"")</f>
        <v/>
      </c>
      <c r="D648" s="54" t="str">
        <f ca="1">IFERROR(__xludf.DUMMYFUNCTION("""COMPUTED_VALUE"""),"")</f>
        <v/>
      </c>
      <c r="E648" s="55" t="str">
        <f ca="1">IFERROR(__xludf.DUMMYFUNCTION("""COMPUTED_VALUE"""),"")</f>
        <v/>
      </c>
      <c r="F648" s="54" t="str">
        <f ca="1">IFERROR(__xludf.DUMMYFUNCTION("""COMPUTED_VALUE"""),"")</f>
        <v/>
      </c>
      <c r="G648" s="38" t="str">
        <f ca="1">IFERROR(__xludf.DUMMYFUNCTION("""COMPUTED_VALUE"""),"")</f>
        <v/>
      </c>
      <c r="H648" s="38" t="str">
        <f ca="1">IFERROR(__xludf.DUMMYFUNCTION("""COMPUTED_VALUE"""),"")</f>
        <v/>
      </c>
    </row>
    <row r="649" spans="1:8" ht="12.75">
      <c r="A649" s="36" t="str">
        <f ca="1">IFERROR(__xludf.DUMMYFUNCTION("""COMPUTED_VALUE"""),"")</f>
        <v/>
      </c>
      <c r="B649" s="37"/>
      <c r="C649" s="54" t="str">
        <f ca="1">IFERROR(__xludf.DUMMYFUNCTION("""COMPUTED_VALUE"""),"")</f>
        <v/>
      </c>
      <c r="D649" s="54" t="str">
        <f ca="1">IFERROR(__xludf.DUMMYFUNCTION("""COMPUTED_VALUE"""),"")</f>
        <v/>
      </c>
      <c r="E649" s="55" t="str">
        <f ca="1">IFERROR(__xludf.DUMMYFUNCTION("""COMPUTED_VALUE"""),"")</f>
        <v/>
      </c>
      <c r="F649" s="54" t="str">
        <f ca="1">IFERROR(__xludf.DUMMYFUNCTION("""COMPUTED_VALUE"""),"")</f>
        <v/>
      </c>
      <c r="G649" s="38" t="str">
        <f ca="1">IFERROR(__xludf.DUMMYFUNCTION("""COMPUTED_VALUE"""),"")</f>
        <v/>
      </c>
      <c r="H649" s="38" t="str">
        <f ca="1">IFERROR(__xludf.DUMMYFUNCTION("""COMPUTED_VALUE"""),"")</f>
        <v/>
      </c>
    </row>
    <row r="650" spans="1:8" ht="12.75">
      <c r="A650" s="36" t="str">
        <f ca="1">IFERROR(__xludf.DUMMYFUNCTION("""COMPUTED_VALUE"""),"")</f>
        <v/>
      </c>
      <c r="B650" s="37"/>
      <c r="C650" s="54" t="str">
        <f ca="1">IFERROR(__xludf.DUMMYFUNCTION("""COMPUTED_VALUE"""),"")</f>
        <v/>
      </c>
      <c r="D650" s="54" t="str">
        <f ca="1">IFERROR(__xludf.DUMMYFUNCTION("""COMPUTED_VALUE"""),"")</f>
        <v/>
      </c>
      <c r="E650" s="55" t="str">
        <f ca="1">IFERROR(__xludf.DUMMYFUNCTION("""COMPUTED_VALUE"""),"")</f>
        <v/>
      </c>
      <c r="F650" s="54" t="str">
        <f ca="1">IFERROR(__xludf.DUMMYFUNCTION("""COMPUTED_VALUE"""),"")</f>
        <v/>
      </c>
      <c r="G650" s="38" t="str">
        <f ca="1">IFERROR(__xludf.DUMMYFUNCTION("""COMPUTED_VALUE"""),"")</f>
        <v/>
      </c>
      <c r="H650" s="38" t="str">
        <f ca="1">IFERROR(__xludf.DUMMYFUNCTION("""COMPUTED_VALUE"""),"")</f>
        <v/>
      </c>
    </row>
    <row r="651" spans="1:8" ht="12.75">
      <c r="A651" s="36" t="str">
        <f ca="1">IFERROR(__xludf.DUMMYFUNCTION("""COMPUTED_VALUE"""),"")</f>
        <v/>
      </c>
      <c r="B651" s="37"/>
      <c r="C651" s="54" t="str">
        <f ca="1">IFERROR(__xludf.DUMMYFUNCTION("""COMPUTED_VALUE"""),"")</f>
        <v/>
      </c>
      <c r="D651" s="54" t="str">
        <f ca="1">IFERROR(__xludf.DUMMYFUNCTION("""COMPUTED_VALUE"""),"")</f>
        <v/>
      </c>
      <c r="E651" s="55" t="str">
        <f ca="1">IFERROR(__xludf.DUMMYFUNCTION("""COMPUTED_VALUE"""),"")</f>
        <v/>
      </c>
      <c r="F651" s="54" t="str">
        <f ca="1">IFERROR(__xludf.DUMMYFUNCTION("""COMPUTED_VALUE"""),"")</f>
        <v/>
      </c>
      <c r="G651" s="38" t="str">
        <f ca="1">IFERROR(__xludf.DUMMYFUNCTION("""COMPUTED_VALUE"""),"")</f>
        <v/>
      </c>
      <c r="H651" s="38" t="str">
        <f ca="1">IFERROR(__xludf.DUMMYFUNCTION("""COMPUTED_VALUE"""),"")</f>
        <v/>
      </c>
    </row>
    <row r="652" spans="1:8" ht="12.75">
      <c r="A652" s="36" t="str">
        <f ca="1">IFERROR(__xludf.DUMMYFUNCTION("""COMPUTED_VALUE"""),"")</f>
        <v/>
      </c>
      <c r="B652" s="37"/>
      <c r="C652" s="54" t="str">
        <f ca="1">IFERROR(__xludf.DUMMYFUNCTION("""COMPUTED_VALUE"""),"")</f>
        <v/>
      </c>
      <c r="D652" s="54" t="str">
        <f ca="1">IFERROR(__xludf.DUMMYFUNCTION("""COMPUTED_VALUE"""),"")</f>
        <v/>
      </c>
      <c r="E652" s="55" t="str">
        <f ca="1">IFERROR(__xludf.DUMMYFUNCTION("""COMPUTED_VALUE"""),"")</f>
        <v/>
      </c>
      <c r="F652" s="54" t="str">
        <f ca="1">IFERROR(__xludf.DUMMYFUNCTION("""COMPUTED_VALUE"""),"")</f>
        <v/>
      </c>
      <c r="G652" s="38" t="str">
        <f ca="1">IFERROR(__xludf.DUMMYFUNCTION("""COMPUTED_VALUE"""),"")</f>
        <v/>
      </c>
      <c r="H652" s="38" t="str">
        <f ca="1">IFERROR(__xludf.DUMMYFUNCTION("""COMPUTED_VALUE"""),"")</f>
        <v/>
      </c>
    </row>
    <row r="653" spans="1:8" ht="12.75">
      <c r="A653" s="36" t="str">
        <f ca="1">IFERROR(__xludf.DUMMYFUNCTION("""COMPUTED_VALUE"""),"")</f>
        <v/>
      </c>
      <c r="B653" s="37"/>
      <c r="C653" s="54" t="str">
        <f ca="1">IFERROR(__xludf.DUMMYFUNCTION("""COMPUTED_VALUE"""),"")</f>
        <v/>
      </c>
      <c r="D653" s="54" t="str">
        <f ca="1">IFERROR(__xludf.DUMMYFUNCTION("""COMPUTED_VALUE"""),"")</f>
        <v/>
      </c>
      <c r="E653" s="55" t="str">
        <f ca="1">IFERROR(__xludf.DUMMYFUNCTION("""COMPUTED_VALUE"""),"")</f>
        <v/>
      </c>
      <c r="F653" s="54" t="str">
        <f ca="1">IFERROR(__xludf.DUMMYFUNCTION("""COMPUTED_VALUE"""),"")</f>
        <v/>
      </c>
      <c r="G653" s="38" t="str">
        <f ca="1">IFERROR(__xludf.DUMMYFUNCTION("""COMPUTED_VALUE"""),"")</f>
        <v/>
      </c>
      <c r="H653" s="38" t="str">
        <f ca="1">IFERROR(__xludf.DUMMYFUNCTION("""COMPUTED_VALUE"""),"")</f>
        <v/>
      </c>
    </row>
    <row r="654" spans="1:8" ht="12.75">
      <c r="A654" s="36" t="str">
        <f ca="1">IFERROR(__xludf.DUMMYFUNCTION("""COMPUTED_VALUE"""),"")</f>
        <v/>
      </c>
      <c r="B654" s="37"/>
      <c r="C654" s="54" t="str">
        <f ca="1">IFERROR(__xludf.DUMMYFUNCTION("""COMPUTED_VALUE"""),"")</f>
        <v/>
      </c>
      <c r="D654" s="54" t="str">
        <f ca="1">IFERROR(__xludf.DUMMYFUNCTION("""COMPUTED_VALUE"""),"")</f>
        <v/>
      </c>
      <c r="E654" s="55" t="str">
        <f ca="1">IFERROR(__xludf.DUMMYFUNCTION("""COMPUTED_VALUE"""),"")</f>
        <v/>
      </c>
      <c r="F654" s="54" t="str">
        <f ca="1">IFERROR(__xludf.DUMMYFUNCTION("""COMPUTED_VALUE"""),"")</f>
        <v/>
      </c>
      <c r="G654" s="38" t="str">
        <f ca="1">IFERROR(__xludf.DUMMYFUNCTION("""COMPUTED_VALUE"""),"")</f>
        <v/>
      </c>
      <c r="H654" s="38" t="str">
        <f ca="1">IFERROR(__xludf.DUMMYFUNCTION("""COMPUTED_VALUE"""),"")</f>
        <v/>
      </c>
    </row>
    <row r="655" spans="1:8" ht="12.75">
      <c r="A655" s="36" t="str">
        <f ca="1">IFERROR(__xludf.DUMMYFUNCTION("""COMPUTED_VALUE"""),"")</f>
        <v/>
      </c>
      <c r="B655" s="37"/>
      <c r="C655" s="54" t="str">
        <f ca="1">IFERROR(__xludf.DUMMYFUNCTION("""COMPUTED_VALUE"""),"")</f>
        <v/>
      </c>
      <c r="D655" s="54" t="str">
        <f ca="1">IFERROR(__xludf.DUMMYFUNCTION("""COMPUTED_VALUE"""),"")</f>
        <v/>
      </c>
      <c r="E655" s="55" t="str">
        <f ca="1">IFERROR(__xludf.DUMMYFUNCTION("""COMPUTED_VALUE"""),"")</f>
        <v/>
      </c>
      <c r="F655" s="54" t="str">
        <f ca="1">IFERROR(__xludf.DUMMYFUNCTION("""COMPUTED_VALUE"""),"")</f>
        <v/>
      </c>
      <c r="G655" s="38" t="str">
        <f ca="1">IFERROR(__xludf.DUMMYFUNCTION("""COMPUTED_VALUE"""),"")</f>
        <v/>
      </c>
      <c r="H655" s="38" t="str">
        <f ca="1">IFERROR(__xludf.DUMMYFUNCTION("""COMPUTED_VALUE"""),"")</f>
        <v/>
      </c>
    </row>
    <row r="656" spans="1:8" ht="12.75">
      <c r="A656" s="36" t="str">
        <f ca="1">IFERROR(__xludf.DUMMYFUNCTION("""COMPUTED_VALUE"""),"")</f>
        <v/>
      </c>
      <c r="B656" s="37"/>
      <c r="C656" s="54" t="str">
        <f ca="1">IFERROR(__xludf.DUMMYFUNCTION("""COMPUTED_VALUE"""),"")</f>
        <v/>
      </c>
      <c r="D656" s="54" t="str">
        <f ca="1">IFERROR(__xludf.DUMMYFUNCTION("""COMPUTED_VALUE"""),"")</f>
        <v/>
      </c>
      <c r="E656" s="55" t="str">
        <f ca="1">IFERROR(__xludf.DUMMYFUNCTION("""COMPUTED_VALUE"""),"")</f>
        <v/>
      </c>
      <c r="F656" s="54" t="str">
        <f ca="1">IFERROR(__xludf.DUMMYFUNCTION("""COMPUTED_VALUE"""),"")</f>
        <v/>
      </c>
      <c r="G656" s="38" t="str">
        <f ca="1">IFERROR(__xludf.DUMMYFUNCTION("""COMPUTED_VALUE"""),"")</f>
        <v/>
      </c>
      <c r="H656" s="38" t="str">
        <f ca="1">IFERROR(__xludf.DUMMYFUNCTION("""COMPUTED_VALUE"""),"")</f>
        <v/>
      </c>
    </row>
    <row r="657" spans="1:8" ht="12.75">
      <c r="A657" s="36" t="str">
        <f ca="1">IFERROR(__xludf.DUMMYFUNCTION("""COMPUTED_VALUE"""),"")</f>
        <v/>
      </c>
      <c r="B657" s="37"/>
      <c r="C657" s="54" t="str">
        <f ca="1">IFERROR(__xludf.DUMMYFUNCTION("""COMPUTED_VALUE"""),"")</f>
        <v/>
      </c>
      <c r="D657" s="54" t="str">
        <f ca="1">IFERROR(__xludf.DUMMYFUNCTION("""COMPUTED_VALUE"""),"")</f>
        <v/>
      </c>
      <c r="E657" s="55" t="str">
        <f ca="1">IFERROR(__xludf.DUMMYFUNCTION("""COMPUTED_VALUE"""),"")</f>
        <v/>
      </c>
      <c r="F657" s="54" t="str">
        <f ca="1">IFERROR(__xludf.DUMMYFUNCTION("""COMPUTED_VALUE"""),"")</f>
        <v/>
      </c>
      <c r="G657" s="38" t="str">
        <f ca="1">IFERROR(__xludf.DUMMYFUNCTION("""COMPUTED_VALUE"""),"")</f>
        <v/>
      </c>
      <c r="H657" s="38" t="str">
        <f ca="1">IFERROR(__xludf.DUMMYFUNCTION("""COMPUTED_VALUE"""),"")</f>
        <v/>
      </c>
    </row>
    <row r="658" spans="1:8" ht="12.75">
      <c r="A658" s="36" t="str">
        <f ca="1">IFERROR(__xludf.DUMMYFUNCTION("""COMPUTED_VALUE"""),"")</f>
        <v/>
      </c>
      <c r="B658" s="37"/>
      <c r="C658" s="54" t="str">
        <f ca="1">IFERROR(__xludf.DUMMYFUNCTION("""COMPUTED_VALUE"""),"")</f>
        <v/>
      </c>
      <c r="D658" s="54" t="str">
        <f ca="1">IFERROR(__xludf.DUMMYFUNCTION("""COMPUTED_VALUE"""),"")</f>
        <v/>
      </c>
      <c r="E658" s="55" t="str">
        <f ca="1">IFERROR(__xludf.DUMMYFUNCTION("""COMPUTED_VALUE"""),"")</f>
        <v/>
      </c>
      <c r="F658" s="54" t="str">
        <f ca="1">IFERROR(__xludf.DUMMYFUNCTION("""COMPUTED_VALUE"""),"")</f>
        <v/>
      </c>
      <c r="G658" s="38" t="str">
        <f ca="1">IFERROR(__xludf.DUMMYFUNCTION("""COMPUTED_VALUE"""),"")</f>
        <v/>
      </c>
      <c r="H658" s="38" t="str">
        <f ca="1">IFERROR(__xludf.DUMMYFUNCTION("""COMPUTED_VALUE"""),"")</f>
        <v/>
      </c>
    </row>
    <row r="659" spans="1:8" ht="12.75">
      <c r="A659" s="36" t="str">
        <f ca="1">IFERROR(__xludf.DUMMYFUNCTION("""COMPUTED_VALUE"""),"")</f>
        <v/>
      </c>
      <c r="B659" s="37"/>
      <c r="C659" s="54" t="str">
        <f ca="1">IFERROR(__xludf.DUMMYFUNCTION("""COMPUTED_VALUE"""),"")</f>
        <v/>
      </c>
      <c r="D659" s="54" t="str">
        <f ca="1">IFERROR(__xludf.DUMMYFUNCTION("""COMPUTED_VALUE"""),"")</f>
        <v/>
      </c>
      <c r="E659" s="55" t="str">
        <f ca="1">IFERROR(__xludf.DUMMYFUNCTION("""COMPUTED_VALUE"""),"")</f>
        <v/>
      </c>
      <c r="F659" s="54" t="str">
        <f ca="1">IFERROR(__xludf.DUMMYFUNCTION("""COMPUTED_VALUE"""),"")</f>
        <v/>
      </c>
      <c r="G659" s="38" t="str">
        <f ca="1">IFERROR(__xludf.DUMMYFUNCTION("""COMPUTED_VALUE"""),"")</f>
        <v/>
      </c>
      <c r="H659" s="38" t="str">
        <f ca="1">IFERROR(__xludf.DUMMYFUNCTION("""COMPUTED_VALUE"""),"")</f>
        <v/>
      </c>
    </row>
    <row r="660" spans="1:8" ht="12.75">
      <c r="A660" s="36" t="str">
        <f ca="1">IFERROR(__xludf.DUMMYFUNCTION("""COMPUTED_VALUE"""),"")</f>
        <v/>
      </c>
      <c r="B660" s="37"/>
      <c r="C660" s="54" t="str">
        <f ca="1">IFERROR(__xludf.DUMMYFUNCTION("""COMPUTED_VALUE"""),"")</f>
        <v/>
      </c>
      <c r="D660" s="54" t="str">
        <f ca="1">IFERROR(__xludf.DUMMYFUNCTION("""COMPUTED_VALUE"""),"")</f>
        <v/>
      </c>
      <c r="E660" s="55" t="str">
        <f ca="1">IFERROR(__xludf.DUMMYFUNCTION("""COMPUTED_VALUE"""),"")</f>
        <v/>
      </c>
      <c r="F660" s="54" t="str">
        <f ca="1">IFERROR(__xludf.DUMMYFUNCTION("""COMPUTED_VALUE"""),"")</f>
        <v/>
      </c>
      <c r="G660" s="38" t="str">
        <f ca="1">IFERROR(__xludf.DUMMYFUNCTION("""COMPUTED_VALUE"""),"")</f>
        <v/>
      </c>
      <c r="H660" s="38" t="str">
        <f ca="1">IFERROR(__xludf.DUMMYFUNCTION("""COMPUTED_VALUE"""),"")</f>
        <v/>
      </c>
    </row>
    <row r="661" spans="1:8" ht="12.75">
      <c r="A661" s="36" t="str">
        <f ca="1">IFERROR(__xludf.DUMMYFUNCTION("""COMPUTED_VALUE"""),"")</f>
        <v/>
      </c>
      <c r="B661" s="37"/>
      <c r="C661" s="54" t="str">
        <f ca="1">IFERROR(__xludf.DUMMYFUNCTION("""COMPUTED_VALUE"""),"")</f>
        <v/>
      </c>
      <c r="D661" s="54" t="str">
        <f ca="1">IFERROR(__xludf.DUMMYFUNCTION("""COMPUTED_VALUE"""),"")</f>
        <v/>
      </c>
      <c r="E661" s="55" t="str">
        <f ca="1">IFERROR(__xludf.DUMMYFUNCTION("""COMPUTED_VALUE"""),"")</f>
        <v/>
      </c>
      <c r="F661" s="54" t="str">
        <f ca="1">IFERROR(__xludf.DUMMYFUNCTION("""COMPUTED_VALUE"""),"")</f>
        <v/>
      </c>
      <c r="G661" s="38" t="str">
        <f ca="1">IFERROR(__xludf.DUMMYFUNCTION("""COMPUTED_VALUE"""),"")</f>
        <v/>
      </c>
      <c r="H661" s="38" t="str">
        <f ca="1">IFERROR(__xludf.DUMMYFUNCTION("""COMPUTED_VALUE"""),"")</f>
        <v/>
      </c>
    </row>
    <row r="662" spans="1:8" ht="12.75">
      <c r="A662" s="36" t="str">
        <f ca="1">IFERROR(__xludf.DUMMYFUNCTION("""COMPUTED_VALUE"""),"")</f>
        <v/>
      </c>
      <c r="B662" s="37"/>
      <c r="C662" s="54" t="str">
        <f ca="1">IFERROR(__xludf.DUMMYFUNCTION("""COMPUTED_VALUE"""),"")</f>
        <v/>
      </c>
      <c r="D662" s="54" t="str">
        <f ca="1">IFERROR(__xludf.DUMMYFUNCTION("""COMPUTED_VALUE"""),"")</f>
        <v/>
      </c>
      <c r="E662" s="55" t="str">
        <f ca="1">IFERROR(__xludf.DUMMYFUNCTION("""COMPUTED_VALUE"""),"")</f>
        <v/>
      </c>
      <c r="F662" s="54" t="str">
        <f ca="1">IFERROR(__xludf.DUMMYFUNCTION("""COMPUTED_VALUE"""),"")</f>
        <v/>
      </c>
      <c r="G662" s="38" t="str">
        <f ca="1">IFERROR(__xludf.DUMMYFUNCTION("""COMPUTED_VALUE"""),"")</f>
        <v/>
      </c>
      <c r="H662" s="38" t="str">
        <f ca="1">IFERROR(__xludf.DUMMYFUNCTION("""COMPUTED_VALUE"""),"")</f>
        <v/>
      </c>
    </row>
    <row r="663" spans="1:8" ht="12.75">
      <c r="A663" s="36" t="str">
        <f ca="1">IFERROR(__xludf.DUMMYFUNCTION("""COMPUTED_VALUE"""),"")</f>
        <v/>
      </c>
      <c r="B663" s="37"/>
      <c r="C663" s="54" t="str">
        <f ca="1">IFERROR(__xludf.DUMMYFUNCTION("""COMPUTED_VALUE"""),"")</f>
        <v/>
      </c>
      <c r="D663" s="54" t="str">
        <f ca="1">IFERROR(__xludf.DUMMYFUNCTION("""COMPUTED_VALUE"""),"")</f>
        <v/>
      </c>
      <c r="E663" s="55" t="str">
        <f ca="1">IFERROR(__xludf.DUMMYFUNCTION("""COMPUTED_VALUE"""),"")</f>
        <v/>
      </c>
      <c r="F663" s="54" t="str">
        <f ca="1">IFERROR(__xludf.DUMMYFUNCTION("""COMPUTED_VALUE"""),"")</f>
        <v/>
      </c>
      <c r="G663" s="38" t="str">
        <f ca="1">IFERROR(__xludf.DUMMYFUNCTION("""COMPUTED_VALUE"""),"")</f>
        <v/>
      </c>
      <c r="H663" s="38" t="str">
        <f ca="1">IFERROR(__xludf.DUMMYFUNCTION("""COMPUTED_VALUE"""),"")</f>
        <v/>
      </c>
    </row>
    <row r="664" spans="1:8" ht="12.75">
      <c r="A664" s="36" t="str">
        <f ca="1">IFERROR(__xludf.DUMMYFUNCTION("""COMPUTED_VALUE"""),"")</f>
        <v/>
      </c>
      <c r="B664" s="37"/>
      <c r="C664" s="54" t="str">
        <f ca="1">IFERROR(__xludf.DUMMYFUNCTION("""COMPUTED_VALUE"""),"")</f>
        <v/>
      </c>
      <c r="D664" s="54" t="str">
        <f ca="1">IFERROR(__xludf.DUMMYFUNCTION("""COMPUTED_VALUE"""),"")</f>
        <v/>
      </c>
      <c r="E664" s="55" t="str">
        <f ca="1">IFERROR(__xludf.DUMMYFUNCTION("""COMPUTED_VALUE"""),"")</f>
        <v/>
      </c>
      <c r="F664" s="54" t="str">
        <f ca="1">IFERROR(__xludf.DUMMYFUNCTION("""COMPUTED_VALUE"""),"")</f>
        <v/>
      </c>
      <c r="G664" s="38" t="str">
        <f ca="1">IFERROR(__xludf.DUMMYFUNCTION("""COMPUTED_VALUE"""),"")</f>
        <v/>
      </c>
      <c r="H664" s="38" t="str">
        <f ca="1">IFERROR(__xludf.DUMMYFUNCTION("""COMPUTED_VALUE"""),"")</f>
        <v/>
      </c>
    </row>
    <row r="665" spans="1:8" ht="12.75">
      <c r="A665" s="36" t="str">
        <f ca="1">IFERROR(__xludf.DUMMYFUNCTION("""COMPUTED_VALUE"""),"")</f>
        <v/>
      </c>
      <c r="B665" s="37"/>
      <c r="C665" s="54" t="str">
        <f ca="1">IFERROR(__xludf.DUMMYFUNCTION("""COMPUTED_VALUE"""),"")</f>
        <v/>
      </c>
      <c r="D665" s="54" t="str">
        <f ca="1">IFERROR(__xludf.DUMMYFUNCTION("""COMPUTED_VALUE"""),"")</f>
        <v/>
      </c>
      <c r="E665" s="55" t="str">
        <f ca="1">IFERROR(__xludf.DUMMYFUNCTION("""COMPUTED_VALUE"""),"")</f>
        <v/>
      </c>
      <c r="F665" s="54" t="str">
        <f ca="1">IFERROR(__xludf.DUMMYFUNCTION("""COMPUTED_VALUE"""),"")</f>
        <v/>
      </c>
      <c r="G665" s="38" t="str">
        <f ca="1">IFERROR(__xludf.DUMMYFUNCTION("""COMPUTED_VALUE"""),"")</f>
        <v/>
      </c>
      <c r="H665" s="38" t="str">
        <f ca="1">IFERROR(__xludf.DUMMYFUNCTION("""COMPUTED_VALUE"""),"")</f>
        <v/>
      </c>
    </row>
    <row r="666" spans="1:8" ht="12.75">
      <c r="A666" s="36" t="str">
        <f ca="1">IFERROR(__xludf.DUMMYFUNCTION("""COMPUTED_VALUE"""),"")</f>
        <v/>
      </c>
      <c r="B666" s="37"/>
      <c r="C666" s="54" t="str">
        <f ca="1">IFERROR(__xludf.DUMMYFUNCTION("""COMPUTED_VALUE"""),"")</f>
        <v/>
      </c>
      <c r="D666" s="54" t="str">
        <f ca="1">IFERROR(__xludf.DUMMYFUNCTION("""COMPUTED_VALUE"""),"")</f>
        <v/>
      </c>
      <c r="E666" s="55" t="str">
        <f ca="1">IFERROR(__xludf.DUMMYFUNCTION("""COMPUTED_VALUE"""),"")</f>
        <v/>
      </c>
      <c r="F666" s="54" t="str">
        <f ca="1">IFERROR(__xludf.DUMMYFUNCTION("""COMPUTED_VALUE"""),"")</f>
        <v/>
      </c>
      <c r="G666" s="38" t="str">
        <f ca="1">IFERROR(__xludf.DUMMYFUNCTION("""COMPUTED_VALUE"""),"")</f>
        <v/>
      </c>
      <c r="H666" s="38" t="str">
        <f ca="1">IFERROR(__xludf.DUMMYFUNCTION("""COMPUTED_VALUE"""),"")</f>
        <v/>
      </c>
    </row>
    <row r="667" spans="1:8" ht="12.75">
      <c r="A667" s="36" t="str">
        <f ca="1">IFERROR(__xludf.DUMMYFUNCTION("""COMPUTED_VALUE"""),"")</f>
        <v/>
      </c>
      <c r="B667" s="37"/>
      <c r="C667" s="54" t="str">
        <f ca="1">IFERROR(__xludf.DUMMYFUNCTION("""COMPUTED_VALUE"""),"")</f>
        <v/>
      </c>
      <c r="D667" s="54" t="str">
        <f ca="1">IFERROR(__xludf.DUMMYFUNCTION("""COMPUTED_VALUE"""),"")</f>
        <v/>
      </c>
      <c r="E667" s="55" t="str">
        <f ca="1">IFERROR(__xludf.DUMMYFUNCTION("""COMPUTED_VALUE"""),"")</f>
        <v/>
      </c>
      <c r="F667" s="54" t="str">
        <f ca="1">IFERROR(__xludf.DUMMYFUNCTION("""COMPUTED_VALUE"""),"")</f>
        <v/>
      </c>
      <c r="G667" s="38" t="str">
        <f ca="1">IFERROR(__xludf.DUMMYFUNCTION("""COMPUTED_VALUE"""),"")</f>
        <v/>
      </c>
      <c r="H667" s="38" t="str">
        <f ca="1">IFERROR(__xludf.DUMMYFUNCTION("""COMPUTED_VALUE"""),"")</f>
        <v/>
      </c>
    </row>
    <row r="668" spans="1:8" ht="12.75">
      <c r="A668" s="36" t="str">
        <f ca="1">IFERROR(__xludf.DUMMYFUNCTION("""COMPUTED_VALUE"""),"")</f>
        <v/>
      </c>
      <c r="B668" s="37"/>
      <c r="C668" s="54" t="str">
        <f ca="1">IFERROR(__xludf.DUMMYFUNCTION("""COMPUTED_VALUE"""),"")</f>
        <v/>
      </c>
      <c r="D668" s="54" t="str">
        <f ca="1">IFERROR(__xludf.DUMMYFUNCTION("""COMPUTED_VALUE"""),"")</f>
        <v/>
      </c>
      <c r="E668" s="55" t="str">
        <f ca="1">IFERROR(__xludf.DUMMYFUNCTION("""COMPUTED_VALUE"""),"")</f>
        <v/>
      </c>
      <c r="F668" s="54" t="str">
        <f ca="1">IFERROR(__xludf.DUMMYFUNCTION("""COMPUTED_VALUE"""),"")</f>
        <v/>
      </c>
      <c r="G668" s="38" t="str">
        <f ca="1">IFERROR(__xludf.DUMMYFUNCTION("""COMPUTED_VALUE"""),"")</f>
        <v/>
      </c>
      <c r="H668" s="38" t="str">
        <f ca="1">IFERROR(__xludf.DUMMYFUNCTION("""COMPUTED_VALUE"""),"")</f>
        <v/>
      </c>
    </row>
    <row r="669" spans="1:8" ht="12.75">
      <c r="A669" s="36" t="str">
        <f ca="1">IFERROR(__xludf.DUMMYFUNCTION("""COMPUTED_VALUE"""),"")</f>
        <v/>
      </c>
      <c r="B669" s="37"/>
      <c r="C669" s="54" t="str">
        <f ca="1">IFERROR(__xludf.DUMMYFUNCTION("""COMPUTED_VALUE"""),"")</f>
        <v/>
      </c>
      <c r="D669" s="54" t="str">
        <f ca="1">IFERROR(__xludf.DUMMYFUNCTION("""COMPUTED_VALUE"""),"")</f>
        <v/>
      </c>
      <c r="E669" s="55" t="str">
        <f ca="1">IFERROR(__xludf.DUMMYFUNCTION("""COMPUTED_VALUE"""),"")</f>
        <v/>
      </c>
      <c r="F669" s="54" t="str">
        <f ca="1">IFERROR(__xludf.DUMMYFUNCTION("""COMPUTED_VALUE"""),"")</f>
        <v/>
      </c>
      <c r="G669" s="38" t="str">
        <f ca="1">IFERROR(__xludf.DUMMYFUNCTION("""COMPUTED_VALUE"""),"")</f>
        <v/>
      </c>
      <c r="H669" s="38" t="str">
        <f ca="1">IFERROR(__xludf.DUMMYFUNCTION("""COMPUTED_VALUE"""),"")</f>
        <v/>
      </c>
    </row>
    <row r="670" spans="1:8" ht="12.75">
      <c r="A670" s="36" t="str">
        <f ca="1">IFERROR(__xludf.DUMMYFUNCTION("""COMPUTED_VALUE"""),"")</f>
        <v/>
      </c>
      <c r="B670" s="37"/>
      <c r="C670" s="54" t="str">
        <f ca="1">IFERROR(__xludf.DUMMYFUNCTION("""COMPUTED_VALUE"""),"")</f>
        <v/>
      </c>
      <c r="D670" s="54" t="str">
        <f ca="1">IFERROR(__xludf.DUMMYFUNCTION("""COMPUTED_VALUE"""),"")</f>
        <v/>
      </c>
      <c r="E670" s="55" t="str">
        <f ca="1">IFERROR(__xludf.DUMMYFUNCTION("""COMPUTED_VALUE"""),"")</f>
        <v/>
      </c>
      <c r="F670" s="54" t="str">
        <f ca="1">IFERROR(__xludf.DUMMYFUNCTION("""COMPUTED_VALUE"""),"")</f>
        <v/>
      </c>
      <c r="G670" s="38" t="str">
        <f ca="1">IFERROR(__xludf.DUMMYFUNCTION("""COMPUTED_VALUE"""),"")</f>
        <v/>
      </c>
      <c r="H670" s="38" t="str">
        <f ca="1">IFERROR(__xludf.DUMMYFUNCTION("""COMPUTED_VALUE"""),"")</f>
        <v/>
      </c>
    </row>
    <row r="671" spans="1:8" ht="12.75">
      <c r="A671" s="36" t="str">
        <f ca="1">IFERROR(__xludf.DUMMYFUNCTION("""COMPUTED_VALUE"""),"")</f>
        <v/>
      </c>
      <c r="B671" s="37"/>
      <c r="C671" s="54" t="str">
        <f ca="1">IFERROR(__xludf.DUMMYFUNCTION("""COMPUTED_VALUE"""),"")</f>
        <v/>
      </c>
      <c r="D671" s="54" t="str">
        <f ca="1">IFERROR(__xludf.DUMMYFUNCTION("""COMPUTED_VALUE"""),"")</f>
        <v/>
      </c>
      <c r="E671" s="55" t="str">
        <f ca="1">IFERROR(__xludf.DUMMYFUNCTION("""COMPUTED_VALUE"""),"")</f>
        <v/>
      </c>
      <c r="F671" s="54" t="str">
        <f ca="1">IFERROR(__xludf.DUMMYFUNCTION("""COMPUTED_VALUE"""),"")</f>
        <v/>
      </c>
      <c r="G671" s="38" t="str">
        <f ca="1">IFERROR(__xludf.DUMMYFUNCTION("""COMPUTED_VALUE"""),"")</f>
        <v/>
      </c>
      <c r="H671" s="38" t="str">
        <f ca="1">IFERROR(__xludf.DUMMYFUNCTION("""COMPUTED_VALUE"""),"")</f>
        <v/>
      </c>
    </row>
    <row r="672" spans="1:8" ht="12.75">
      <c r="A672" s="36" t="str">
        <f ca="1">IFERROR(__xludf.DUMMYFUNCTION("""COMPUTED_VALUE"""),"")</f>
        <v/>
      </c>
      <c r="B672" s="37"/>
      <c r="C672" s="54" t="str">
        <f ca="1">IFERROR(__xludf.DUMMYFUNCTION("""COMPUTED_VALUE"""),"")</f>
        <v/>
      </c>
      <c r="D672" s="54" t="str">
        <f ca="1">IFERROR(__xludf.DUMMYFUNCTION("""COMPUTED_VALUE"""),"")</f>
        <v/>
      </c>
      <c r="E672" s="55" t="str">
        <f ca="1">IFERROR(__xludf.DUMMYFUNCTION("""COMPUTED_VALUE"""),"")</f>
        <v/>
      </c>
      <c r="F672" s="54" t="str">
        <f ca="1">IFERROR(__xludf.DUMMYFUNCTION("""COMPUTED_VALUE"""),"")</f>
        <v/>
      </c>
      <c r="G672" s="38" t="str">
        <f ca="1">IFERROR(__xludf.DUMMYFUNCTION("""COMPUTED_VALUE"""),"")</f>
        <v/>
      </c>
      <c r="H672" s="38" t="str">
        <f ca="1">IFERROR(__xludf.DUMMYFUNCTION("""COMPUTED_VALUE"""),"")</f>
        <v/>
      </c>
    </row>
    <row r="673" spans="1:8" ht="12.75">
      <c r="A673" s="36" t="str">
        <f ca="1">IFERROR(__xludf.DUMMYFUNCTION("""COMPUTED_VALUE"""),"")</f>
        <v/>
      </c>
      <c r="B673" s="37"/>
      <c r="C673" s="54" t="str">
        <f ca="1">IFERROR(__xludf.DUMMYFUNCTION("""COMPUTED_VALUE"""),"")</f>
        <v/>
      </c>
      <c r="D673" s="54" t="str">
        <f ca="1">IFERROR(__xludf.DUMMYFUNCTION("""COMPUTED_VALUE"""),"")</f>
        <v/>
      </c>
      <c r="E673" s="55" t="str">
        <f ca="1">IFERROR(__xludf.DUMMYFUNCTION("""COMPUTED_VALUE"""),"")</f>
        <v/>
      </c>
      <c r="F673" s="54" t="str">
        <f ca="1">IFERROR(__xludf.DUMMYFUNCTION("""COMPUTED_VALUE"""),"")</f>
        <v/>
      </c>
      <c r="G673" s="38" t="str">
        <f ca="1">IFERROR(__xludf.DUMMYFUNCTION("""COMPUTED_VALUE"""),"")</f>
        <v/>
      </c>
      <c r="H673" s="38" t="str">
        <f ca="1">IFERROR(__xludf.DUMMYFUNCTION("""COMPUTED_VALUE"""),"")</f>
        <v/>
      </c>
    </row>
    <row r="674" spans="1:8" ht="12.75">
      <c r="A674" s="36" t="str">
        <f ca="1">IFERROR(__xludf.DUMMYFUNCTION("""COMPUTED_VALUE"""),"")</f>
        <v/>
      </c>
      <c r="B674" s="37"/>
      <c r="C674" s="54" t="str">
        <f ca="1">IFERROR(__xludf.DUMMYFUNCTION("""COMPUTED_VALUE"""),"")</f>
        <v/>
      </c>
      <c r="D674" s="54" t="str">
        <f ca="1">IFERROR(__xludf.DUMMYFUNCTION("""COMPUTED_VALUE"""),"")</f>
        <v/>
      </c>
      <c r="E674" s="55" t="str">
        <f ca="1">IFERROR(__xludf.DUMMYFUNCTION("""COMPUTED_VALUE"""),"")</f>
        <v/>
      </c>
      <c r="F674" s="54" t="str">
        <f ca="1">IFERROR(__xludf.DUMMYFUNCTION("""COMPUTED_VALUE"""),"")</f>
        <v/>
      </c>
      <c r="G674" s="38" t="str">
        <f ca="1">IFERROR(__xludf.DUMMYFUNCTION("""COMPUTED_VALUE"""),"")</f>
        <v/>
      </c>
      <c r="H674" s="38" t="str">
        <f ca="1">IFERROR(__xludf.DUMMYFUNCTION("""COMPUTED_VALUE"""),"")</f>
        <v/>
      </c>
    </row>
    <row r="675" spans="1:8" ht="12.75">
      <c r="A675" s="36" t="str">
        <f ca="1">IFERROR(__xludf.DUMMYFUNCTION("""COMPUTED_VALUE"""),"")</f>
        <v/>
      </c>
      <c r="B675" s="37"/>
      <c r="C675" s="54" t="str">
        <f ca="1">IFERROR(__xludf.DUMMYFUNCTION("""COMPUTED_VALUE"""),"")</f>
        <v/>
      </c>
      <c r="D675" s="54" t="str">
        <f ca="1">IFERROR(__xludf.DUMMYFUNCTION("""COMPUTED_VALUE"""),"")</f>
        <v/>
      </c>
      <c r="E675" s="55" t="str">
        <f ca="1">IFERROR(__xludf.DUMMYFUNCTION("""COMPUTED_VALUE"""),"")</f>
        <v/>
      </c>
      <c r="F675" s="54" t="str">
        <f ca="1">IFERROR(__xludf.DUMMYFUNCTION("""COMPUTED_VALUE"""),"")</f>
        <v/>
      </c>
      <c r="G675" s="38" t="str">
        <f ca="1">IFERROR(__xludf.DUMMYFUNCTION("""COMPUTED_VALUE"""),"")</f>
        <v/>
      </c>
      <c r="H675" s="38" t="str">
        <f ca="1">IFERROR(__xludf.DUMMYFUNCTION("""COMPUTED_VALUE"""),"")</f>
        <v/>
      </c>
    </row>
    <row r="676" spans="1:8" ht="12.75">
      <c r="A676" s="36" t="str">
        <f ca="1">IFERROR(__xludf.DUMMYFUNCTION("""COMPUTED_VALUE"""),"")</f>
        <v/>
      </c>
      <c r="B676" s="37"/>
      <c r="C676" s="54" t="str">
        <f ca="1">IFERROR(__xludf.DUMMYFUNCTION("""COMPUTED_VALUE"""),"")</f>
        <v/>
      </c>
      <c r="D676" s="54" t="str">
        <f ca="1">IFERROR(__xludf.DUMMYFUNCTION("""COMPUTED_VALUE"""),"")</f>
        <v/>
      </c>
      <c r="E676" s="55" t="str">
        <f ca="1">IFERROR(__xludf.DUMMYFUNCTION("""COMPUTED_VALUE"""),"")</f>
        <v/>
      </c>
      <c r="F676" s="54" t="str">
        <f ca="1">IFERROR(__xludf.DUMMYFUNCTION("""COMPUTED_VALUE"""),"")</f>
        <v/>
      </c>
      <c r="G676" s="38" t="str">
        <f ca="1">IFERROR(__xludf.DUMMYFUNCTION("""COMPUTED_VALUE"""),"")</f>
        <v/>
      </c>
      <c r="H676" s="38" t="str">
        <f ca="1">IFERROR(__xludf.DUMMYFUNCTION("""COMPUTED_VALUE"""),"")</f>
        <v/>
      </c>
    </row>
    <row r="677" spans="1:8" ht="12.75">
      <c r="A677" s="36" t="str">
        <f ca="1">IFERROR(__xludf.DUMMYFUNCTION("""COMPUTED_VALUE"""),"")</f>
        <v/>
      </c>
      <c r="B677" s="37"/>
      <c r="C677" s="54" t="str">
        <f ca="1">IFERROR(__xludf.DUMMYFUNCTION("""COMPUTED_VALUE"""),"")</f>
        <v/>
      </c>
      <c r="D677" s="54" t="str">
        <f ca="1">IFERROR(__xludf.DUMMYFUNCTION("""COMPUTED_VALUE"""),"")</f>
        <v/>
      </c>
      <c r="E677" s="55" t="str">
        <f ca="1">IFERROR(__xludf.DUMMYFUNCTION("""COMPUTED_VALUE"""),"")</f>
        <v/>
      </c>
      <c r="F677" s="54" t="str">
        <f ca="1">IFERROR(__xludf.DUMMYFUNCTION("""COMPUTED_VALUE"""),"")</f>
        <v/>
      </c>
      <c r="G677" s="38" t="str">
        <f ca="1">IFERROR(__xludf.DUMMYFUNCTION("""COMPUTED_VALUE"""),"")</f>
        <v/>
      </c>
      <c r="H677" s="38" t="str">
        <f ca="1">IFERROR(__xludf.DUMMYFUNCTION("""COMPUTED_VALUE"""),"")</f>
        <v/>
      </c>
    </row>
    <row r="678" spans="1:8" ht="12.75">
      <c r="A678" s="36" t="str">
        <f ca="1">IFERROR(__xludf.DUMMYFUNCTION("""COMPUTED_VALUE"""),"")</f>
        <v/>
      </c>
      <c r="B678" s="37"/>
      <c r="C678" s="54" t="str">
        <f ca="1">IFERROR(__xludf.DUMMYFUNCTION("""COMPUTED_VALUE"""),"")</f>
        <v/>
      </c>
      <c r="D678" s="54" t="str">
        <f ca="1">IFERROR(__xludf.DUMMYFUNCTION("""COMPUTED_VALUE"""),"")</f>
        <v/>
      </c>
      <c r="E678" s="55" t="str">
        <f ca="1">IFERROR(__xludf.DUMMYFUNCTION("""COMPUTED_VALUE"""),"")</f>
        <v/>
      </c>
      <c r="F678" s="54" t="str">
        <f ca="1">IFERROR(__xludf.DUMMYFUNCTION("""COMPUTED_VALUE"""),"")</f>
        <v/>
      </c>
      <c r="G678" s="38" t="str">
        <f ca="1">IFERROR(__xludf.DUMMYFUNCTION("""COMPUTED_VALUE"""),"")</f>
        <v/>
      </c>
      <c r="H678" s="38" t="str">
        <f ca="1">IFERROR(__xludf.DUMMYFUNCTION("""COMPUTED_VALUE"""),"")</f>
        <v/>
      </c>
    </row>
    <row r="679" spans="1:8" ht="12.75">
      <c r="A679" s="36" t="str">
        <f ca="1">IFERROR(__xludf.DUMMYFUNCTION("""COMPUTED_VALUE"""),"")</f>
        <v/>
      </c>
      <c r="B679" s="37"/>
      <c r="C679" s="54" t="str">
        <f ca="1">IFERROR(__xludf.DUMMYFUNCTION("""COMPUTED_VALUE"""),"")</f>
        <v/>
      </c>
      <c r="D679" s="54" t="str">
        <f ca="1">IFERROR(__xludf.DUMMYFUNCTION("""COMPUTED_VALUE"""),"")</f>
        <v/>
      </c>
      <c r="E679" s="55" t="str">
        <f ca="1">IFERROR(__xludf.DUMMYFUNCTION("""COMPUTED_VALUE"""),"")</f>
        <v/>
      </c>
      <c r="F679" s="54" t="str">
        <f ca="1">IFERROR(__xludf.DUMMYFUNCTION("""COMPUTED_VALUE"""),"")</f>
        <v/>
      </c>
      <c r="G679" s="38" t="str">
        <f ca="1">IFERROR(__xludf.DUMMYFUNCTION("""COMPUTED_VALUE"""),"")</f>
        <v/>
      </c>
      <c r="H679" s="38" t="str">
        <f ca="1">IFERROR(__xludf.DUMMYFUNCTION("""COMPUTED_VALUE"""),"")</f>
        <v/>
      </c>
    </row>
    <row r="680" spans="1:8" ht="12.75">
      <c r="A680" s="36" t="str">
        <f ca="1">IFERROR(__xludf.DUMMYFUNCTION("""COMPUTED_VALUE"""),"")</f>
        <v/>
      </c>
      <c r="B680" s="37"/>
      <c r="C680" s="54" t="str">
        <f ca="1">IFERROR(__xludf.DUMMYFUNCTION("""COMPUTED_VALUE"""),"")</f>
        <v/>
      </c>
      <c r="D680" s="54" t="str">
        <f ca="1">IFERROR(__xludf.DUMMYFUNCTION("""COMPUTED_VALUE"""),"")</f>
        <v/>
      </c>
      <c r="E680" s="55" t="str">
        <f ca="1">IFERROR(__xludf.DUMMYFUNCTION("""COMPUTED_VALUE"""),"")</f>
        <v/>
      </c>
      <c r="F680" s="54" t="str">
        <f ca="1">IFERROR(__xludf.DUMMYFUNCTION("""COMPUTED_VALUE"""),"")</f>
        <v/>
      </c>
      <c r="G680" s="38" t="str">
        <f ca="1">IFERROR(__xludf.DUMMYFUNCTION("""COMPUTED_VALUE"""),"")</f>
        <v/>
      </c>
      <c r="H680" s="38" t="str">
        <f ca="1">IFERROR(__xludf.DUMMYFUNCTION("""COMPUTED_VALUE"""),"")</f>
        <v/>
      </c>
    </row>
    <row r="681" spans="1:8" ht="12.75">
      <c r="A681" s="36" t="str">
        <f ca="1">IFERROR(__xludf.DUMMYFUNCTION("""COMPUTED_VALUE"""),"")</f>
        <v/>
      </c>
      <c r="B681" s="37"/>
      <c r="C681" s="54" t="str">
        <f ca="1">IFERROR(__xludf.DUMMYFUNCTION("""COMPUTED_VALUE"""),"")</f>
        <v/>
      </c>
      <c r="D681" s="54" t="str">
        <f ca="1">IFERROR(__xludf.DUMMYFUNCTION("""COMPUTED_VALUE"""),"")</f>
        <v/>
      </c>
      <c r="E681" s="55" t="str">
        <f ca="1">IFERROR(__xludf.DUMMYFUNCTION("""COMPUTED_VALUE"""),"")</f>
        <v/>
      </c>
      <c r="F681" s="54" t="str">
        <f ca="1">IFERROR(__xludf.DUMMYFUNCTION("""COMPUTED_VALUE"""),"")</f>
        <v/>
      </c>
      <c r="G681" s="38" t="str">
        <f ca="1">IFERROR(__xludf.DUMMYFUNCTION("""COMPUTED_VALUE"""),"")</f>
        <v/>
      </c>
      <c r="H681" s="38" t="str">
        <f ca="1">IFERROR(__xludf.DUMMYFUNCTION("""COMPUTED_VALUE"""),"")</f>
        <v/>
      </c>
    </row>
    <row r="682" spans="1:8" ht="12.75">
      <c r="A682" s="36" t="str">
        <f ca="1">IFERROR(__xludf.DUMMYFUNCTION("""COMPUTED_VALUE"""),"")</f>
        <v/>
      </c>
      <c r="B682" s="37"/>
      <c r="C682" s="54" t="str">
        <f ca="1">IFERROR(__xludf.DUMMYFUNCTION("""COMPUTED_VALUE"""),"")</f>
        <v/>
      </c>
      <c r="D682" s="54" t="str">
        <f ca="1">IFERROR(__xludf.DUMMYFUNCTION("""COMPUTED_VALUE"""),"")</f>
        <v/>
      </c>
      <c r="E682" s="55" t="str">
        <f ca="1">IFERROR(__xludf.DUMMYFUNCTION("""COMPUTED_VALUE"""),"")</f>
        <v/>
      </c>
      <c r="F682" s="54" t="str">
        <f ca="1">IFERROR(__xludf.DUMMYFUNCTION("""COMPUTED_VALUE"""),"")</f>
        <v/>
      </c>
      <c r="G682" s="38" t="str">
        <f ca="1">IFERROR(__xludf.DUMMYFUNCTION("""COMPUTED_VALUE"""),"")</f>
        <v/>
      </c>
      <c r="H682" s="38" t="str">
        <f ca="1">IFERROR(__xludf.DUMMYFUNCTION("""COMPUTED_VALUE"""),"")</f>
        <v/>
      </c>
    </row>
    <row r="683" spans="1:8" ht="12.75">
      <c r="A683" s="36" t="str">
        <f ca="1">IFERROR(__xludf.DUMMYFUNCTION("""COMPUTED_VALUE"""),"")</f>
        <v/>
      </c>
      <c r="B683" s="37"/>
      <c r="C683" s="54" t="str">
        <f ca="1">IFERROR(__xludf.DUMMYFUNCTION("""COMPUTED_VALUE"""),"")</f>
        <v/>
      </c>
      <c r="D683" s="54" t="str">
        <f ca="1">IFERROR(__xludf.DUMMYFUNCTION("""COMPUTED_VALUE"""),"")</f>
        <v/>
      </c>
      <c r="E683" s="55" t="str">
        <f ca="1">IFERROR(__xludf.DUMMYFUNCTION("""COMPUTED_VALUE"""),"")</f>
        <v/>
      </c>
      <c r="F683" s="54" t="str">
        <f ca="1">IFERROR(__xludf.DUMMYFUNCTION("""COMPUTED_VALUE"""),"")</f>
        <v/>
      </c>
      <c r="G683" s="38" t="str">
        <f ca="1">IFERROR(__xludf.DUMMYFUNCTION("""COMPUTED_VALUE"""),"")</f>
        <v/>
      </c>
      <c r="H683" s="38" t="str">
        <f ca="1">IFERROR(__xludf.DUMMYFUNCTION("""COMPUTED_VALUE"""),"")</f>
        <v/>
      </c>
    </row>
    <row r="684" spans="1:8" ht="12.75">
      <c r="A684" s="36" t="str">
        <f ca="1">IFERROR(__xludf.DUMMYFUNCTION("""COMPUTED_VALUE"""),"")</f>
        <v/>
      </c>
      <c r="B684" s="37"/>
      <c r="C684" s="54" t="str">
        <f ca="1">IFERROR(__xludf.DUMMYFUNCTION("""COMPUTED_VALUE"""),"")</f>
        <v/>
      </c>
      <c r="D684" s="54" t="str">
        <f ca="1">IFERROR(__xludf.DUMMYFUNCTION("""COMPUTED_VALUE"""),"")</f>
        <v/>
      </c>
      <c r="E684" s="55" t="str">
        <f ca="1">IFERROR(__xludf.DUMMYFUNCTION("""COMPUTED_VALUE"""),"")</f>
        <v/>
      </c>
      <c r="F684" s="54" t="str">
        <f ca="1">IFERROR(__xludf.DUMMYFUNCTION("""COMPUTED_VALUE"""),"")</f>
        <v/>
      </c>
      <c r="G684" s="38" t="str">
        <f ca="1">IFERROR(__xludf.DUMMYFUNCTION("""COMPUTED_VALUE"""),"")</f>
        <v/>
      </c>
      <c r="H684" s="38" t="str">
        <f ca="1">IFERROR(__xludf.DUMMYFUNCTION("""COMPUTED_VALUE"""),"")</f>
        <v/>
      </c>
    </row>
    <row r="685" spans="1:8" ht="12.75">
      <c r="A685" s="36" t="str">
        <f ca="1">IFERROR(__xludf.DUMMYFUNCTION("""COMPUTED_VALUE"""),"")</f>
        <v/>
      </c>
      <c r="B685" s="37"/>
      <c r="C685" s="54" t="str">
        <f ca="1">IFERROR(__xludf.DUMMYFUNCTION("""COMPUTED_VALUE"""),"")</f>
        <v/>
      </c>
      <c r="D685" s="54" t="str">
        <f ca="1">IFERROR(__xludf.DUMMYFUNCTION("""COMPUTED_VALUE"""),"")</f>
        <v/>
      </c>
      <c r="E685" s="55" t="str">
        <f ca="1">IFERROR(__xludf.DUMMYFUNCTION("""COMPUTED_VALUE"""),"")</f>
        <v/>
      </c>
      <c r="F685" s="54" t="str">
        <f ca="1">IFERROR(__xludf.DUMMYFUNCTION("""COMPUTED_VALUE"""),"")</f>
        <v/>
      </c>
      <c r="G685" s="38" t="str">
        <f ca="1">IFERROR(__xludf.DUMMYFUNCTION("""COMPUTED_VALUE"""),"")</f>
        <v/>
      </c>
      <c r="H685" s="38" t="str">
        <f ca="1">IFERROR(__xludf.DUMMYFUNCTION("""COMPUTED_VALUE"""),"")</f>
        <v/>
      </c>
    </row>
    <row r="686" spans="1:8" ht="12.75">
      <c r="A686" s="36" t="str">
        <f ca="1">IFERROR(__xludf.DUMMYFUNCTION("""COMPUTED_VALUE"""),"")</f>
        <v/>
      </c>
      <c r="B686" s="37"/>
      <c r="C686" s="54" t="str">
        <f ca="1">IFERROR(__xludf.DUMMYFUNCTION("""COMPUTED_VALUE"""),"")</f>
        <v/>
      </c>
      <c r="D686" s="54" t="str">
        <f ca="1">IFERROR(__xludf.DUMMYFUNCTION("""COMPUTED_VALUE"""),"")</f>
        <v/>
      </c>
      <c r="E686" s="55" t="str">
        <f ca="1">IFERROR(__xludf.DUMMYFUNCTION("""COMPUTED_VALUE"""),"")</f>
        <v/>
      </c>
      <c r="F686" s="54" t="str">
        <f ca="1">IFERROR(__xludf.DUMMYFUNCTION("""COMPUTED_VALUE"""),"")</f>
        <v/>
      </c>
      <c r="G686" s="38" t="str">
        <f ca="1">IFERROR(__xludf.DUMMYFUNCTION("""COMPUTED_VALUE"""),"")</f>
        <v/>
      </c>
      <c r="H686" s="38" t="str">
        <f ca="1">IFERROR(__xludf.DUMMYFUNCTION("""COMPUTED_VALUE"""),"")</f>
        <v/>
      </c>
    </row>
    <row r="687" spans="1:8" ht="12.75">
      <c r="A687" s="36" t="str">
        <f ca="1">IFERROR(__xludf.DUMMYFUNCTION("""COMPUTED_VALUE"""),"")</f>
        <v/>
      </c>
      <c r="B687" s="37"/>
      <c r="C687" s="54" t="str">
        <f ca="1">IFERROR(__xludf.DUMMYFUNCTION("""COMPUTED_VALUE"""),"")</f>
        <v/>
      </c>
      <c r="D687" s="54" t="str">
        <f ca="1">IFERROR(__xludf.DUMMYFUNCTION("""COMPUTED_VALUE"""),"")</f>
        <v/>
      </c>
      <c r="E687" s="55" t="str">
        <f ca="1">IFERROR(__xludf.DUMMYFUNCTION("""COMPUTED_VALUE"""),"")</f>
        <v/>
      </c>
      <c r="F687" s="54" t="str">
        <f ca="1">IFERROR(__xludf.DUMMYFUNCTION("""COMPUTED_VALUE"""),"")</f>
        <v/>
      </c>
      <c r="G687" s="38" t="str">
        <f ca="1">IFERROR(__xludf.DUMMYFUNCTION("""COMPUTED_VALUE"""),"")</f>
        <v/>
      </c>
      <c r="H687" s="38" t="str">
        <f ca="1">IFERROR(__xludf.DUMMYFUNCTION("""COMPUTED_VALUE"""),"")</f>
        <v/>
      </c>
    </row>
    <row r="688" spans="1:8" ht="12.75">
      <c r="A688" s="36" t="str">
        <f ca="1">IFERROR(__xludf.DUMMYFUNCTION("""COMPUTED_VALUE"""),"")</f>
        <v/>
      </c>
      <c r="B688" s="37"/>
      <c r="C688" s="54" t="str">
        <f ca="1">IFERROR(__xludf.DUMMYFUNCTION("""COMPUTED_VALUE"""),"")</f>
        <v/>
      </c>
      <c r="D688" s="54" t="str">
        <f ca="1">IFERROR(__xludf.DUMMYFUNCTION("""COMPUTED_VALUE"""),"")</f>
        <v/>
      </c>
      <c r="E688" s="55" t="str">
        <f ca="1">IFERROR(__xludf.DUMMYFUNCTION("""COMPUTED_VALUE"""),"")</f>
        <v/>
      </c>
      <c r="F688" s="54" t="str">
        <f ca="1">IFERROR(__xludf.DUMMYFUNCTION("""COMPUTED_VALUE"""),"")</f>
        <v/>
      </c>
      <c r="G688" s="38" t="str">
        <f ca="1">IFERROR(__xludf.DUMMYFUNCTION("""COMPUTED_VALUE"""),"")</f>
        <v/>
      </c>
      <c r="H688" s="38" t="str">
        <f ca="1">IFERROR(__xludf.DUMMYFUNCTION("""COMPUTED_VALUE"""),"")</f>
        <v/>
      </c>
    </row>
    <row r="689" spans="1:8" ht="12.75">
      <c r="A689" s="36" t="str">
        <f ca="1">IFERROR(__xludf.DUMMYFUNCTION("""COMPUTED_VALUE"""),"")</f>
        <v/>
      </c>
      <c r="B689" s="37"/>
      <c r="C689" s="54" t="str">
        <f ca="1">IFERROR(__xludf.DUMMYFUNCTION("""COMPUTED_VALUE"""),"")</f>
        <v/>
      </c>
      <c r="D689" s="54" t="str">
        <f ca="1">IFERROR(__xludf.DUMMYFUNCTION("""COMPUTED_VALUE"""),"")</f>
        <v/>
      </c>
      <c r="E689" s="55" t="str">
        <f ca="1">IFERROR(__xludf.DUMMYFUNCTION("""COMPUTED_VALUE"""),"")</f>
        <v/>
      </c>
      <c r="F689" s="54" t="str">
        <f ca="1">IFERROR(__xludf.DUMMYFUNCTION("""COMPUTED_VALUE"""),"")</f>
        <v/>
      </c>
      <c r="G689" s="38" t="str">
        <f ca="1">IFERROR(__xludf.DUMMYFUNCTION("""COMPUTED_VALUE"""),"")</f>
        <v/>
      </c>
      <c r="H689" s="38" t="str">
        <f ca="1">IFERROR(__xludf.DUMMYFUNCTION("""COMPUTED_VALUE"""),"")</f>
        <v/>
      </c>
    </row>
    <row r="690" spans="1:8" ht="12.75">
      <c r="A690" s="36" t="str">
        <f ca="1">IFERROR(__xludf.DUMMYFUNCTION("""COMPUTED_VALUE"""),"")</f>
        <v/>
      </c>
      <c r="B690" s="37"/>
      <c r="C690" s="54" t="str">
        <f ca="1">IFERROR(__xludf.DUMMYFUNCTION("""COMPUTED_VALUE"""),"")</f>
        <v/>
      </c>
      <c r="D690" s="54" t="str">
        <f ca="1">IFERROR(__xludf.DUMMYFUNCTION("""COMPUTED_VALUE"""),"")</f>
        <v/>
      </c>
      <c r="E690" s="55" t="str">
        <f ca="1">IFERROR(__xludf.DUMMYFUNCTION("""COMPUTED_VALUE"""),"")</f>
        <v/>
      </c>
      <c r="F690" s="54" t="str">
        <f ca="1">IFERROR(__xludf.DUMMYFUNCTION("""COMPUTED_VALUE"""),"")</f>
        <v/>
      </c>
      <c r="G690" s="38" t="str">
        <f ca="1">IFERROR(__xludf.DUMMYFUNCTION("""COMPUTED_VALUE"""),"")</f>
        <v/>
      </c>
      <c r="H690" s="38" t="str">
        <f ca="1">IFERROR(__xludf.DUMMYFUNCTION("""COMPUTED_VALUE"""),"")</f>
        <v/>
      </c>
    </row>
    <row r="691" spans="1:8" ht="12.75">
      <c r="A691" s="36" t="str">
        <f ca="1">IFERROR(__xludf.DUMMYFUNCTION("""COMPUTED_VALUE"""),"")</f>
        <v/>
      </c>
      <c r="B691" s="37"/>
      <c r="C691" s="54" t="str">
        <f ca="1">IFERROR(__xludf.DUMMYFUNCTION("""COMPUTED_VALUE"""),"")</f>
        <v/>
      </c>
      <c r="D691" s="54" t="str">
        <f ca="1">IFERROR(__xludf.DUMMYFUNCTION("""COMPUTED_VALUE"""),"")</f>
        <v/>
      </c>
      <c r="E691" s="55" t="str">
        <f ca="1">IFERROR(__xludf.DUMMYFUNCTION("""COMPUTED_VALUE"""),"")</f>
        <v/>
      </c>
      <c r="F691" s="54" t="str">
        <f ca="1">IFERROR(__xludf.DUMMYFUNCTION("""COMPUTED_VALUE"""),"")</f>
        <v/>
      </c>
      <c r="G691" s="38" t="str">
        <f ca="1">IFERROR(__xludf.DUMMYFUNCTION("""COMPUTED_VALUE"""),"")</f>
        <v/>
      </c>
      <c r="H691" s="38" t="str">
        <f ca="1">IFERROR(__xludf.DUMMYFUNCTION("""COMPUTED_VALUE"""),"")</f>
        <v/>
      </c>
    </row>
    <row r="692" spans="1:8" ht="12.75">
      <c r="A692" s="36" t="str">
        <f ca="1">IFERROR(__xludf.DUMMYFUNCTION("""COMPUTED_VALUE"""),"")</f>
        <v/>
      </c>
      <c r="B692" s="37"/>
      <c r="C692" s="54" t="str">
        <f ca="1">IFERROR(__xludf.DUMMYFUNCTION("""COMPUTED_VALUE"""),"")</f>
        <v/>
      </c>
      <c r="D692" s="54" t="str">
        <f ca="1">IFERROR(__xludf.DUMMYFUNCTION("""COMPUTED_VALUE"""),"")</f>
        <v/>
      </c>
      <c r="E692" s="55" t="str">
        <f ca="1">IFERROR(__xludf.DUMMYFUNCTION("""COMPUTED_VALUE"""),"")</f>
        <v/>
      </c>
      <c r="F692" s="54" t="str">
        <f ca="1">IFERROR(__xludf.DUMMYFUNCTION("""COMPUTED_VALUE"""),"")</f>
        <v/>
      </c>
      <c r="G692" s="38" t="str">
        <f ca="1">IFERROR(__xludf.DUMMYFUNCTION("""COMPUTED_VALUE"""),"")</f>
        <v/>
      </c>
      <c r="H692" s="38" t="str">
        <f ca="1">IFERROR(__xludf.DUMMYFUNCTION("""COMPUTED_VALUE"""),"")</f>
        <v/>
      </c>
    </row>
    <row r="693" spans="1:8" ht="12.75">
      <c r="A693" s="36" t="str">
        <f ca="1">IFERROR(__xludf.DUMMYFUNCTION("""COMPUTED_VALUE"""),"")</f>
        <v/>
      </c>
      <c r="B693" s="37"/>
      <c r="C693" s="54" t="str">
        <f ca="1">IFERROR(__xludf.DUMMYFUNCTION("""COMPUTED_VALUE"""),"")</f>
        <v/>
      </c>
      <c r="D693" s="54" t="str">
        <f ca="1">IFERROR(__xludf.DUMMYFUNCTION("""COMPUTED_VALUE"""),"")</f>
        <v/>
      </c>
      <c r="E693" s="55" t="str">
        <f ca="1">IFERROR(__xludf.DUMMYFUNCTION("""COMPUTED_VALUE"""),"")</f>
        <v/>
      </c>
      <c r="F693" s="54" t="str">
        <f ca="1">IFERROR(__xludf.DUMMYFUNCTION("""COMPUTED_VALUE"""),"")</f>
        <v/>
      </c>
      <c r="G693" s="38" t="str">
        <f ca="1">IFERROR(__xludf.DUMMYFUNCTION("""COMPUTED_VALUE"""),"")</f>
        <v/>
      </c>
      <c r="H693" s="38" t="str">
        <f ca="1">IFERROR(__xludf.DUMMYFUNCTION("""COMPUTED_VALUE"""),"")</f>
        <v/>
      </c>
    </row>
    <row r="694" spans="1:8" ht="12.75">
      <c r="A694" s="36" t="str">
        <f ca="1">IFERROR(__xludf.DUMMYFUNCTION("""COMPUTED_VALUE"""),"")</f>
        <v/>
      </c>
      <c r="B694" s="37"/>
      <c r="C694" s="54" t="str">
        <f ca="1">IFERROR(__xludf.DUMMYFUNCTION("""COMPUTED_VALUE"""),"")</f>
        <v/>
      </c>
      <c r="D694" s="54" t="str">
        <f ca="1">IFERROR(__xludf.DUMMYFUNCTION("""COMPUTED_VALUE"""),"")</f>
        <v/>
      </c>
      <c r="E694" s="55" t="str">
        <f ca="1">IFERROR(__xludf.DUMMYFUNCTION("""COMPUTED_VALUE"""),"")</f>
        <v/>
      </c>
      <c r="F694" s="54" t="str">
        <f ca="1">IFERROR(__xludf.DUMMYFUNCTION("""COMPUTED_VALUE"""),"")</f>
        <v/>
      </c>
      <c r="G694" s="38" t="str">
        <f ca="1">IFERROR(__xludf.DUMMYFUNCTION("""COMPUTED_VALUE"""),"")</f>
        <v/>
      </c>
      <c r="H694" s="38" t="str">
        <f ca="1">IFERROR(__xludf.DUMMYFUNCTION("""COMPUTED_VALUE"""),"")</f>
        <v/>
      </c>
    </row>
    <row r="695" spans="1:8" ht="12.75">
      <c r="A695" s="36" t="str">
        <f ca="1">IFERROR(__xludf.DUMMYFUNCTION("""COMPUTED_VALUE"""),"")</f>
        <v/>
      </c>
      <c r="B695" s="37"/>
      <c r="C695" s="54" t="str">
        <f ca="1">IFERROR(__xludf.DUMMYFUNCTION("""COMPUTED_VALUE"""),"")</f>
        <v/>
      </c>
      <c r="D695" s="54" t="str">
        <f ca="1">IFERROR(__xludf.DUMMYFUNCTION("""COMPUTED_VALUE"""),"")</f>
        <v/>
      </c>
      <c r="E695" s="55" t="str">
        <f ca="1">IFERROR(__xludf.DUMMYFUNCTION("""COMPUTED_VALUE"""),"")</f>
        <v/>
      </c>
      <c r="F695" s="54" t="str">
        <f ca="1">IFERROR(__xludf.DUMMYFUNCTION("""COMPUTED_VALUE"""),"")</f>
        <v/>
      </c>
      <c r="G695" s="38" t="str">
        <f ca="1">IFERROR(__xludf.DUMMYFUNCTION("""COMPUTED_VALUE"""),"")</f>
        <v/>
      </c>
      <c r="H695" s="38" t="str">
        <f ca="1">IFERROR(__xludf.DUMMYFUNCTION("""COMPUTED_VALUE"""),"")</f>
        <v/>
      </c>
    </row>
    <row r="696" spans="1:8" ht="12.75">
      <c r="A696" s="36" t="str">
        <f ca="1">IFERROR(__xludf.DUMMYFUNCTION("""COMPUTED_VALUE"""),"")</f>
        <v/>
      </c>
      <c r="B696" s="37"/>
      <c r="C696" s="54" t="str">
        <f ca="1">IFERROR(__xludf.DUMMYFUNCTION("""COMPUTED_VALUE"""),"")</f>
        <v/>
      </c>
      <c r="D696" s="54" t="str">
        <f ca="1">IFERROR(__xludf.DUMMYFUNCTION("""COMPUTED_VALUE"""),"")</f>
        <v/>
      </c>
      <c r="E696" s="55" t="str">
        <f ca="1">IFERROR(__xludf.DUMMYFUNCTION("""COMPUTED_VALUE"""),"")</f>
        <v/>
      </c>
      <c r="F696" s="54" t="str">
        <f ca="1">IFERROR(__xludf.DUMMYFUNCTION("""COMPUTED_VALUE"""),"")</f>
        <v/>
      </c>
      <c r="G696" s="38" t="str">
        <f ca="1">IFERROR(__xludf.DUMMYFUNCTION("""COMPUTED_VALUE"""),"")</f>
        <v/>
      </c>
      <c r="H696" s="38" t="str">
        <f ca="1">IFERROR(__xludf.DUMMYFUNCTION("""COMPUTED_VALUE"""),"")</f>
        <v/>
      </c>
    </row>
    <row r="697" spans="1:8" ht="12.75">
      <c r="A697" s="36" t="str">
        <f ca="1">IFERROR(__xludf.DUMMYFUNCTION("""COMPUTED_VALUE"""),"")</f>
        <v/>
      </c>
      <c r="B697" s="37"/>
      <c r="C697" s="54" t="str">
        <f ca="1">IFERROR(__xludf.DUMMYFUNCTION("""COMPUTED_VALUE"""),"")</f>
        <v/>
      </c>
      <c r="D697" s="54" t="str">
        <f ca="1">IFERROR(__xludf.DUMMYFUNCTION("""COMPUTED_VALUE"""),"")</f>
        <v/>
      </c>
      <c r="E697" s="55" t="str">
        <f ca="1">IFERROR(__xludf.DUMMYFUNCTION("""COMPUTED_VALUE"""),"")</f>
        <v/>
      </c>
      <c r="F697" s="54" t="str">
        <f ca="1">IFERROR(__xludf.DUMMYFUNCTION("""COMPUTED_VALUE"""),"")</f>
        <v/>
      </c>
      <c r="G697" s="38" t="str">
        <f ca="1">IFERROR(__xludf.DUMMYFUNCTION("""COMPUTED_VALUE"""),"")</f>
        <v/>
      </c>
      <c r="H697" s="38" t="str">
        <f ca="1">IFERROR(__xludf.DUMMYFUNCTION("""COMPUTED_VALUE"""),"")</f>
        <v/>
      </c>
    </row>
    <row r="698" spans="1:8" ht="12.75">
      <c r="A698" s="36" t="str">
        <f ca="1">IFERROR(__xludf.DUMMYFUNCTION("""COMPUTED_VALUE"""),"")</f>
        <v/>
      </c>
      <c r="B698" s="37"/>
      <c r="C698" s="54" t="str">
        <f ca="1">IFERROR(__xludf.DUMMYFUNCTION("""COMPUTED_VALUE"""),"")</f>
        <v/>
      </c>
      <c r="D698" s="54" t="str">
        <f ca="1">IFERROR(__xludf.DUMMYFUNCTION("""COMPUTED_VALUE"""),"")</f>
        <v/>
      </c>
      <c r="E698" s="55" t="str">
        <f ca="1">IFERROR(__xludf.DUMMYFUNCTION("""COMPUTED_VALUE"""),"")</f>
        <v/>
      </c>
      <c r="F698" s="54" t="str">
        <f ca="1">IFERROR(__xludf.DUMMYFUNCTION("""COMPUTED_VALUE"""),"")</f>
        <v/>
      </c>
      <c r="G698" s="38" t="str">
        <f ca="1">IFERROR(__xludf.DUMMYFUNCTION("""COMPUTED_VALUE"""),"")</f>
        <v/>
      </c>
      <c r="H698" s="38" t="str">
        <f ca="1">IFERROR(__xludf.DUMMYFUNCTION("""COMPUTED_VALUE"""),"")</f>
        <v/>
      </c>
    </row>
    <row r="699" spans="1:8" ht="12.75">
      <c r="A699" s="36" t="str">
        <f ca="1">IFERROR(__xludf.DUMMYFUNCTION("""COMPUTED_VALUE"""),"")</f>
        <v/>
      </c>
      <c r="B699" s="37"/>
      <c r="C699" s="54" t="str">
        <f ca="1">IFERROR(__xludf.DUMMYFUNCTION("""COMPUTED_VALUE"""),"")</f>
        <v/>
      </c>
      <c r="D699" s="54" t="str">
        <f ca="1">IFERROR(__xludf.DUMMYFUNCTION("""COMPUTED_VALUE"""),"")</f>
        <v/>
      </c>
      <c r="E699" s="55" t="str">
        <f ca="1">IFERROR(__xludf.DUMMYFUNCTION("""COMPUTED_VALUE"""),"")</f>
        <v/>
      </c>
      <c r="F699" s="54" t="str">
        <f ca="1">IFERROR(__xludf.DUMMYFUNCTION("""COMPUTED_VALUE"""),"")</f>
        <v/>
      </c>
      <c r="G699" s="38" t="str">
        <f ca="1">IFERROR(__xludf.DUMMYFUNCTION("""COMPUTED_VALUE"""),"")</f>
        <v/>
      </c>
      <c r="H699" s="38" t="str">
        <f ca="1">IFERROR(__xludf.DUMMYFUNCTION("""COMPUTED_VALUE"""),"")</f>
        <v/>
      </c>
    </row>
    <row r="700" spans="1:8" ht="12.75">
      <c r="A700" s="36" t="str">
        <f ca="1">IFERROR(__xludf.DUMMYFUNCTION("""COMPUTED_VALUE"""),"")</f>
        <v/>
      </c>
      <c r="B700" s="37"/>
      <c r="C700" s="54" t="str">
        <f ca="1">IFERROR(__xludf.DUMMYFUNCTION("""COMPUTED_VALUE"""),"")</f>
        <v/>
      </c>
      <c r="D700" s="54" t="str">
        <f ca="1">IFERROR(__xludf.DUMMYFUNCTION("""COMPUTED_VALUE"""),"")</f>
        <v/>
      </c>
      <c r="E700" s="55" t="str">
        <f ca="1">IFERROR(__xludf.DUMMYFUNCTION("""COMPUTED_VALUE"""),"")</f>
        <v/>
      </c>
      <c r="F700" s="54" t="str">
        <f ca="1">IFERROR(__xludf.DUMMYFUNCTION("""COMPUTED_VALUE"""),"")</f>
        <v/>
      </c>
      <c r="G700" s="38" t="str">
        <f ca="1">IFERROR(__xludf.DUMMYFUNCTION("""COMPUTED_VALUE"""),"")</f>
        <v/>
      </c>
      <c r="H700" s="38" t="str">
        <f ca="1">IFERROR(__xludf.DUMMYFUNCTION("""COMPUTED_VALUE"""),"")</f>
        <v/>
      </c>
    </row>
    <row r="701" spans="1:8" ht="12.75">
      <c r="A701" s="36" t="str">
        <f ca="1">IFERROR(__xludf.DUMMYFUNCTION("""COMPUTED_VALUE"""),"")</f>
        <v/>
      </c>
      <c r="B701" s="37"/>
      <c r="C701" s="54" t="str">
        <f ca="1">IFERROR(__xludf.DUMMYFUNCTION("""COMPUTED_VALUE"""),"")</f>
        <v/>
      </c>
      <c r="D701" s="54" t="str">
        <f ca="1">IFERROR(__xludf.DUMMYFUNCTION("""COMPUTED_VALUE"""),"")</f>
        <v/>
      </c>
      <c r="E701" s="55" t="str">
        <f ca="1">IFERROR(__xludf.DUMMYFUNCTION("""COMPUTED_VALUE"""),"")</f>
        <v/>
      </c>
      <c r="F701" s="54" t="str">
        <f ca="1">IFERROR(__xludf.DUMMYFUNCTION("""COMPUTED_VALUE"""),"")</f>
        <v/>
      </c>
      <c r="G701" s="38" t="str">
        <f ca="1">IFERROR(__xludf.DUMMYFUNCTION("""COMPUTED_VALUE"""),"")</f>
        <v/>
      </c>
      <c r="H701" s="38" t="str">
        <f ca="1">IFERROR(__xludf.DUMMYFUNCTION("""COMPUTED_VALUE"""),"")</f>
        <v/>
      </c>
    </row>
    <row r="702" spans="1:8" ht="12.75">
      <c r="A702" s="36" t="str">
        <f ca="1">IFERROR(__xludf.DUMMYFUNCTION("""COMPUTED_VALUE"""),"")</f>
        <v/>
      </c>
      <c r="B702" s="37"/>
      <c r="C702" s="54" t="str">
        <f ca="1">IFERROR(__xludf.DUMMYFUNCTION("""COMPUTED_VALUE"""),"")</f>
        <v/>
      </c>
      <c r="D702" s="54" t="str">
        <f ca="1">IFERROR(__xludf.DUMMYFUNCTION("""COMPUTED_VALUE"""),"")</f>
        <v/>
      </c>
      <c r="E702" s="55" t="str">
        <f ca="1">IFERROR(__xludf.DUMMYFUNCTION("""COMPUTED_VALUE"""),"")</f>
        <v/>
      </c>
      <c r="F702" s="54" t="str">
        <f ca="1">IFERROR(__xludf.DUMMYFUNCTION("""COMPUTED_VALUE"""),"")</f>
        <v/>
      </c>
      <c r="G702" s="38" t="str">
        <f ca="1">IFERROR(__xludf.DUMMYFUNCTION("""COMPUTED_VALUE"""),"")</f>
        <v/>
      </c>
      <c r="H702" s="38" t="str">
        <f ca="1">IFERROR(__xludf.DUMMYFUNCTION("""COMPUTED_VALUE"""),"")</f>
        <v/>
      </c>
    </row>
    <row r="703" spans="1:8" ht="12.75">
      <c r="A703" s="36" t="str">
        <f ca="1">IFERROR(__xludf.DUMMYFUNCTION("""COMPUTED_VALUE"""),"")</f>
        <v/>
      </c>
      <c r="B703" s="37"/>
      <c r="C703" s="54" t="str">
        <f ca="1">IFERROR(__xludf.DUMMYFUNCTION("""COMPUTED_VALUE"""),"")</f>
        <v/>
      </c>
      <c r="D703" s="54" t="str">
        <f ca="1">IFERROR(__xludf.DUMMYFUNCTION("""COMPUTED_VALUE"""),"")</f>
        <v/>
      </c>
      <c r="E703" s="55" t="str">
        <f ca="1">IFERROR(__xludf.DUMMYFUNCTION("""COMPUTED_VALUE"""),"")</f>
        <v/>
      </c>
      <c r="F703" s="54" t="str">
        <f ca="1">IFERROR(__xludf.DUMMYFUNCTION("""COMPUTED_VALUE"""),"")</f>
        <v/>
      </c>
      <c r="G703" s="38" t="str">
        <f ca="1">IFERROR(__xludf.DUMMYFUNCTION("""COMPUTED_VALUE"""),"")</f>
        <v/>
      </c>
      <c r="H703" s="38" t="str">
        <f ca="1">IFERROR(__xludf.DUMMYFUNCTION("""COMPUTED_VALUE"""),"")</f>
        <v/>
      </c>
    </row>
    <row r="704" spans="1:8" ht="12.75">
      <c r="A704" s="36" t="str">
        <f ca="1">IFERROR(__xludf.DUMMYFUNCTION("""COMPUTED_VALUE"""),"")</f>
        <v/>
      </c>
      <c r="B704" s="37"/>
      <c r="C704" s="54" t="str">
        <f ca="1">IFERROR(__xludf.DUMMYFUNCTION("""COMPUTED_VALUE"""),"")</f>
        <v/>
      </c>
      <c r="D704" s="54" t="str">
        <f ca="1">IFERROR(__xludf.DUMMYFUNCTION("""COMPUTED_VALUE"""),"")</f>
        <v/>
      </c>
      <c r="E704" s="55" t="str">
        <f ca="1">IFERROR(__xludf.DUMMYFUNCTION("""COMPUTED_VALUE"""),"")</f>
        <v/>
      </c>
      <c r="F704" s="54" t="str">
        <f ca="1">IFERROR(__xludf.DUMMYFUNCTION("""COMPUTED_VALUE"""),"")</f>
        <v/>
      </c>
      <c r="G704" s="38" t="str">
        <f ca="1">IFERROR(__xludf.DUMMYFUNCTION("""COMPUTED_VALUE"""),"")</f>
        <v/>
      </c>
      <c r="H704" s="38" t="str">
        <f ca="1">IFERROR(__xludf.DUMMYFUNCTION("""COMPUTED_VALUE"""),"")</f>
        <v/>
      </c>
    </row>
    <row r="705" spans="1:8" ht="12.75">
      <c r="A705" s="36" t="str">
        <f ca="1">IFERROR(__xludf.DUMMYFUNCTION("""COMPUTED_VALUE"""),"")</f>
        <v/>
      </c>
      <c r="B705" s="37"/>
      <c r="C705" s="54" t="str">
        <f ca="1">IFERROR(__xludf.DUMMYFUNCTION("""COMPUTED_VALUE"""),"")</f>
        <v/>
      </c>
      <c r="D705" s="54" t="str">
        <f ca="1">IFERROR(__xludf.DUMMYFUNCTION("""COMPUTED_VALUE"""),"")</f>
        <v/>
      </c>
      <c r="E705" s="55" t="str">
        <f ca="1">IFERROR(__xludf.DUMMYFUNCTION("""COMPUTED_VALUE"""),"")</f>
        <v/>
      </c>
      <c r="F705" s="54" t="str">
        <f ca="1">IFERROR(__xludf.DUMMYFUNCTION("""COMPUTED_VALUE"""),"")</f>
        <v/>
      </c>
      <c r="G705" s="38" t="str">
        <f ca="1">IFERROR(__xludf.DUMMYFUNCTION("""COMPUTED_VALUE"""),"")</f>
        <v/>
      </c>
      <c r="H705" s="38" t="str">
        <f ca="1">IFERROR(__xludf.DUMMYFUNCTION("""COMPUTED_VALUE"""),"")</f>
        <v/>
      </c>
    </row>
    <row r="706" spans="1:8" ht="12.75">
      <c r="A706" s="36" t="str">
        <f ca="1">IFERROR(__xludf.DUMMYFUNCTION("""COMPUTED_VALUE"""),"")</f>
        <v/>
      </c>
      <c r="B706" s="37"/>
      <c r="C706" s="54" t="str">
        <f ca="1">IFERROR(__xludf.DUMMYFUNCTION("""COMPUTED_VALUE"""),"")</f>
        <v/>
      </c>
      <c r="D706" s="54" t="str">
        <f ca="1">IFERROR(__xludf.DUMMYFUNCTION("""COMPUTED_VALUE"""),"")</f>
        <v/>
      </c>
      <c r="E706" s="55" t="str">
        <f ca="1">IFERROR(__xludf.DUMMYFUNCTION("""COMPUTED_VALUE"""),"")</f>
        <v/>
      </c>
      <c r="F706" s="54" t="str">
        <f ca="1">IFERROR(__xludf.DUMMYFUNCTION("""COMPUTED_VALUE"""),"")</f>
        <v/>
      </c>
      <c r="G706" s="38" t="str">
        <f ca="1">IFERROR(__xludf.DUMMYFUNCTION("""COMPUTED_VALUE"""),"")</f>
        <v/>
      </c>
      <c r="H706" s="38" t="str">
        <f ca="1">IFERROR(__xludf.DUMMYFUNCTION("""COMPUTED_VALUE"""),"")</f>
        <v/>
      </c>
    </row>
    <row r="707" spans="1:8" ht="12.75">
      <c r="A707" s="36" t="str">
        <f ca="1">IFERROR(__xludf.DUMMYFUNCTION("""COMPUTED_VALUE"""),"")</f>
        <v/>
      </c>
      <c r="B707" s="37"/>
      <c r="C707" s="54" t="str">
        <f ca="1">IFERROR(__xludf.DUMMYFUNCTION("""COMPUTED_VALUE"""),"")</f>
        <v/>
      </c>
      <c r="D707" s="54" t="str">
        <f ca="1">IFERROR(__xludf.DUMMYFUNCTION("""COMPUTED_VALUE"""),"")</f>
        <v/>
      </c>
      <c r="E707" s="55" t="str">
        <f ca="1">IFERROR(__xludf.DUMMYFUNCTION("""COMPUTED_VALUE"""),"")</f>
        <v/>
      </c>
      <c r="F707" s="54" t="str">
        <f ca="1">IFERROR(__xludf.DUMMYFUNCTION("""COMPUTED_VALUE"""),"")</f>
        <v/>
      </c>
      <c r="G707" s="38" t="str">
        <f ca="1">IFERROR(__xludf.DUMMYFUNCTION("""COMPUTED_VALUE"""),"")</f>
        <v/>
      </c>
      <c r="H707" s="38" t="str">
        <f ca="1">IFERROR(__xludf.DUMMYFUNCTION("""COMPUTED_VALUE"""),"")</f>
        <v/>
      </c>
    </row>
    <row r="708" spans="1:8" ht="12.75">
      <c r="A708" s="36" t="str">
        <f ca="1">IFERROR(__xludf.DUMMYFUNCTION("""COMPUTED_VALUE"""),"")</f>
        <v/>
      </c>
      <c r="B708" s="37"/>
      <c r="C708" s="54" t="str">
        <f ca="1">IFERROR(__xludf.DUMMYFUNCTION("""COMPUTED_VALUE"""),"")</f>
        <v/>
      </c>
      <c r="D708" s="54" t="str">
        <f ca="1">IFERROR(__xludf.DUMMYFUNCTION("""COMPUTED_VALUE"""),"")</f>
        <v/>
      </c>
      <c r="E708" s="55" t="str">
        <f ca="1">IFERROR(__xludf.DUMMYFUNCTION("""COMPUTED_VALUE"""),"")</f>
        <v/>
      </c>
      <c r="F708" s="54" t="str">
        <f ca="1">IFERROR(__xludf.DUMMYFUNCTION("""COMPUTED_VALUE"""),"")</f>
        <v/>
      </c>
      <c r="G708" s="38" t="str">
        <f ca="1">IFERROR(__xludf.DUMMYFUNCTION("""COMPUTED_VALUE"""),"")</f>
        <v/>
      </c>
      <c r="H708" s="38" t="str">
        <f ca="1">IFERROR(__xludf.DUMMYFUNCTION("""COMPUTED_VALUE"""),"")</f>
        <v/>
      </c>
    </row>
    <row r="709" spans="1:8" ht="12.75">
      <c r="A709" s="36" t="str">
        <f ca="1">IFERROR(__xludf.DUMMYFUNCTION("""COMPUTED_VALUE"""),"")</f>
        <v/>
      </c>
      <c r="B709" s="37"/>
      <c r="C709" s="54" t="str">
        <f ca="1">IFERROR(__xludf.DUMMYFUNCTION("""COMPUTED_VALUE"""),"")</f>
        <v/>
      </c>
      <c r="D709" s="54" t="str">
        <f ca="1">IFERROR(__xludf.DUMMYFUNCTION("""COMPUTED_VALUE"""),"")</f>
        <v/>
      </c>
      <c r="E709" s="55" t="str">
        <f ca="1">IFERROR(__xludf.DUMMYFUNCTION("""COMPUTED_VALUE"""),"")</f>
        <v/>
      </c>
      <c r="F709" s="54" t="str">
        <f ca="1">IFERROR(__xludf.DUMMYFUNCTION("""COMPUTED_VALUE"""),"")</f>
        <v/>
      </c>
      <c r="G709" s="38" t="str">
        <f ca="1">IFERROR(__xludf.DUMMYFUNCTION("""COMPUTED_VALUE"""),"")</f>
        <v/>
      </c>
      <c r="H709" s="38" t="str">
        <f ca="1">IFERROR(__xludf.DUMMYFUNCTION("""COMPUTED_VALUE"""),"")</f>
        <v/>
      </c>
    </row>
    <row r="710" spans="1:8" ht="12.75">
      <c r="A710" s="36" t="str">
        <f ca="1">IFERROR(__xludf.DUMMYFUNCTION("""COMPUTED_VALUE"""),"")</f>
        <v/>
      </c>
      <c r="B710" s="37"/>
      <c r="C710" s="54" t="str">
        <f ca="1">IFERROR(__xludf.DUMMYFUNCTION("""COMPUTED_VALUE"""),"")</f>
        <v/>
      </c>
      <c r="D710" s="54" t="str">
        <f ca="1">IFERROR(__xludf.DUMMYFUNCTION("""COMPUTED_VALUE"""),"")</f>
        <v/>
      </c>
      <c r="E710" s="55" t="str">
        <f ca="1">IFERROR(__xludf.DUMMYFUNCTION("""COMPUTED_VALUE"""),"")</f>
        <v/>
      </c>
      <c r="F710" s="54" t="str">
        <f ca="1">IFERROR(__xludf.DUMMYFUNCTION("""COMPUTED_VALUE"""),"")</f>
        <v/>
      </c>
      <c r="G710" s="38" t="str">
        <f ca="1">IFERROR(__xludf.DUMMYFUNCTION("""COMPUTED_VALUE"""),"")</f>
        <v/>
      </c>
      <c r="H710" s="38" t="str">
        <f ca="1">IFERROR(__xludf.DUMMYFUNCTION("""COMPUTED_VALUE"""),"")</f>
        <v/>
      </c>
    </row>
    <row r="711" spans="1:8" ht="12.75">
      <c r="A711" s="36" t="str">
        <f ca="1">IFERROR(__xludf.DUMMYFUNCTION("""COMPUTED_VALUE"""),"")</f>
        <v/>
      </c>
      <c r="B711" s="37"/>
      <c r="C711" s="54" t="str">
        <f ca="1">IFERROR(__xludf.DUMMYFUNCTION("""COMPUTED_VALUE"""),"")</f>
        <v/>
      </c>
      <c r="D711" s="54" t="str">
        <f ca="1">IFERROR(__xludf.DUMMYFUNCTION("""COMPUTED_VALUE"""),"")</f>
        <v/>
      </c>
      <c r="E711" s="55" t="str">
        <f ca="1">IFERROR(__xludf.DUMMYFUNCTION("""COMPUTED_VALUE"""),"")</f>
        <v/>
      </c>
      <c r="F711" s="54" t="str">
        <f ca="1">IFERROR(__xludf.DUMMYFUNCTION("""COMPUTED_VALUE"""),"")</f>
        <v/>
      </c>
      <c r="G711" s="38" t="str">
        <f ca="1">IFERROR(__xludf.DUMMYFUNCTION("""COMPUTED_VALUE"""),"")</f>
        <v/>
      </c>
      <c r="H711" s="38" t="str">
        <f ca="1">IFERROR(__xludf.DUMMYFUNCTION("""COMPUTED_VALUE"""),"")</f>
        <v/>
      </c>
    </row>
    <row r="712" spans="1:8" ht="12.75">
      <c r="A712" s="36" t="str">
        <f ca="1">IFERROR(__xludf.DUMMYFUNCTION("""COMPUTED_VALUE"""),"")</f>
        <v/>
      </c>
      <c r="B712" s="37"/>
      <c r="C712" s="54" t="str">
        <f ca="1">IFERROR(__xludf.DUMMYFUNCTION("""COMPUTED_VALUE"""),"")</f>
        <v/>
      </c>
      <c r="D712" s="54" t="str">
        <f ca="1">IFERROR(__xludf.DUMMYFUNCTION("""COMPUTED_VALUE"""),"")</f>
        <v/>
      </c>
      <c r="E712" s="55" t="str">
        <f ca="1">IFERROR(__xludf.DUMMYFUNCTION("""COMPUTED_VALUE"""),"")</f>
        <v/>
      </c>
      <c r="F712" s="54" t="str">
        <f ca="1">IFERROR(__xludf.DUMMYFUNCTION("""COMPUTED_VALUE"""),"")</f>
        <v/>
      </c>
      <c r="G712" s="38" t="str">
        <f ca="1">IFERROR(__xludf.DUMMYFUNCTION("""COMPUTED_VALUE"""),"")</f>
        <v/>
      </c>
      <c r="H712" s="38" t="str">
        <f ca="1">IFERROR(__xludf.DUMMYFUNCTION("""COMPUTED_VALUE"""),"")</f>
        <v/>
      </c>
    </row>
    <row r="713" spans="1:8" ht="12.75">
      <c r="A713" s="36" t="str">
        <f ca="1">IFERROR(__xludf.DUMMYFUNCTION("""COMPUTED_VALUE"""),"")</f>
        <v/>
      </c>
      <c r="B713" s="37"/>
      <c r="C713" s="54" t="str">
        <f ca="1">IFERROR(__xludf.DUMMYFUNCTION("""COMPUTED_VALUE"""),"")</f>
        <v/>
      </c>
      <c r="D713" s="54" t="str">
        <f ca="1">IFERROR(__xludf.DUMMYFUNCTION("""COMPUTED_VALUE"""),"")</f>
        <v/>
      </c>
      <c r="E713" s="55" t="str">
        <f ca="1">IFERROR(__xludf.DUMMYFUNCTION("""COMPUTED_VALUE"""),"")</f>
        <v/>
      </c>
      <c r="F713" s="54" t="str">
        <f ca="1">IFERROR(__xludf.DUMMYFUNCTION("""COMPUTED_VALUE"""),"")</f>
        <v/>
      </c>
      <c r="G713" s="38" t="str">
        <f ca="1">IFERROR(__xludf.DUMMYFUNCTION("""COMPUTED_VALUE"""),"")</f>
        <v/>
      </c>
      <c r="H713" s="38" t="str">
        <f ca="1">IFERROR(__xludf.DUMMYFUNCTION("""COMPUTED_VALUE"""),"")</f>
        <v/>
      </c>
    </row>
    <row r="714" spans="1:8" ht="12.75">
      <c r="A714" s="36" t="str">
        <f ca="1">IFERROR(__xludf.DUMMYFUNCTION("""COMPUTED_VALUE"""),"")</f>
        <v/>
      </c>
      <c r="B714" s="37"/>
      <c r="C714" s="54" t="str">
        <f ca="1">IFERROR(__xludf.DUMMYFUNCTION("""COMPUTED_VALUE"""),"")</f>
        <v/>
      </c>
      <c r="D714" s="54" t="str">
        <f ca="1">IFERROR(__xludf.DUMMYFUNCTION("""COMPUTED_VALUE"""),"")</f>
        <v/>
      </c>
      <c r="E714" s="55" t="str">
        <f ca="1">IFERROR(__xludf.DUMMYFUNCTION("""COMPUTED_VALUE"""),"")</f>
        <v/>
      </c>
      <c r="F714" s="54" t="str">
        <f ca="1">IFERROR(__xludf.DUMMYFUNCTION("""COMPUTED_VALUE"""),"")</f>
        <v/>
      </c>
      <c r="G714" s="38" t="str">
        <f ca="1">IFERROR(__xludf.DUMMYFUNCTION("""COMPUTED_VALUE"""),"")</f>
        <v/>
      </c>
      <c r="H714" s="38" t="str">
        <f ca="1">IFERROR(__xludf.DUMMYFUNCTION("""COMPUTED_VALUE"""),"")</f>
        <v/>
      </c>
    </row>
    <row r="715" spans="1:8" ht="12.75">
      <c r="A715" s="36" t="str">
        <f ca="1">IFERROR(__xludf.DUMMYFUNCTION("""COMPUTED_VALUE"""),"")</f>
        <v/>
      </c>
      <c r="B715" s="37"/>
      <c r="C715" s="54" t="str">
        <f ca="1">IFERROR(__xludf.DUMMYFUNCTION("""COMPUTED_VALUE"""),"")</f>
        <v/>
      </c>
      <c r="D715" s="54" t="str">
        <f ca="1">IFERROR(__xludf.DUMMYFUNCTION("""COMPUTED_VALUE"""),"")</f>
        <v/>
      </c>
      <c r="E715" s="55" t="str">
        <f ca="1">IFERROR(__xludf.DUMMYFUNCTION("""COMPUTED_VALUE"""),"")</f>
        <v/>
      </c>
      <c r="F715" s="54" t="str">
        <f ca="1">IFERROR(__xludf.DUMMYFUNCTION("""COMPUTED_VALUE"""),"")</f>
        <v/>
      </c>
      <c r="G715" s="38" t="str">
        <f ca="1">IFERROR(__xludf.DUMMYFUNCTION("""COMPUTED_VALUE"""),"")</f>
        <v/>
      </c>
      <c r="H715" s="38" t="str">
        <f ca="1">IFERROR(__xludf.DUMMYFUNCTION("""COMPUTED_VALUE"""),"")</f>
        <v/>
      </c>
    </row>
    <row r="716" spans="1:8" ht="12.75">
      <c r="A716" s="36" t="str">
        <f ca="1">IFERROR(__xludf.DUMMYFUNCTION("""COMPUTED_VALUE"""),"")</f>
        <v/>
      </c>
      <c r="B716" s="37"/>
      <c r="C716" s="54" t="str">
        <f ca="1">IFERROR(__xludf.DUMMYFUNCTION("""COMPUTED_VALUE"""),"")</f>
        <v/>
      </c>
      <c r="D716" s="54" t="str">
        <f ca="1">IFERROR(__xludf.DUMMYFUNCTION("""COMPUTED_VALUE"""),"")</f>
        <v/>
      </c>
      <c r="E716" s="55" t="str">
        <f ca="1">IFERROR(__xludf.DUMMYFUNCTION("""COMPUTED_VALUE"""),"")</f>
        <v/>
      </c>
      <c r="F716" s="54" t="str">
        <f ca="1">IFERROR(__xludf.DUMMYFUNCTION("""COMPUTED_VALUE"""),"")</f>
        <v/>
      </c>
      <c r="G716" s="38" t="str">
        <f ca="1">IFERROR(__xludf.DUMMYFUNCTION("""COMPUTED_VALUE"""),"")</f>
        <v/>
      </c>
      <c r="H716" s="38" t="str">
        <f ca="1">IFERROR(__xludf.DUMMYFUNCTION("""COMPUTED_VALUE"""),"")</f>
        <v/>
      </c>
    </row>
    <row r="717" spans="1:8" ht="12.75">
      <c r="A717" s="36" t="str">
        <f ca="1">IFERROR(__xludf.DUMMYFUNCTION("""COMPUTED_VALUE"""),"")</f>
        <v/>
      </c>
      <c r="B717" s="37"/>
      <c r="C717" s="54" t="str">
        <f ca="1">IFERROR(__xludf.DUMMYFUNCTION("""COMPUTED_VALUE"""),"")</f>
        <v/>
      </c>
      <c r="D717" s="54" t="str">
        <f ca="1">IFERROR(__xludf.DUMMYFUNCTION("""COMPUTED_VALUE"""),"")</f>
        <v/>
      </c>
      <c r="E717" s="55" t="str">
        <f ca="1">IFERROR(__xludf.DUMMYFUNCTION("""COMPUTED_VALUE"""),"")</f>
        <v/>
      </c>
      <c r="F717" s="54" t="str">
        <f ca="1">IFERROR(__xludf.DUMMYFUNCTION("""COMPUTED_VALUE"""),"")</f>
        <v/>
      </c>
      <c r="G717" s="38" t="str">
        <f ca="1">IFERROR(__xludf.DUMMYFUNCTION("""COMPUTED_VALUE"""),"")</f>
        <v/>
      </c>
      <c r="H717" s="38" t="str">
        <f ca="1">IFERROR(__xludf.DUMMYFUNCTION("""COMPUTED_VALUE"""),"")</f>
        <v/>
      </c>
    </row>
    <row r="718" spans="1:8" ht="12.75">
      <c r="A718" s="36" t="str">
        <f ca="1">IFERROR(__xludf.DUMMYFUNCTION("""COMPUTED_VALUE"""),"")</f>
        <v/>
      </c>
      <c r="B718" s="37"/>
      <c r="C718" s="54" t="str">
        <f ca="1">IFERROR(__xludf.DUMMYFUNCTION("""COMPUTED_VALUE"""),"")</f>
        <v/>
      </c>
      <c r="D718" s="54" t="str">
        <f ca="1">IFERROR(__xludf.DUMMYFUNCTION("""COMPUTED_VALUE"""),"")</f>
        <v/>
      </c>
      <c r="E718" s="55" t="str">
        <f ca="1">IFERROR(__xludf.DUMMYFUNCTION("""COMPUTED_VALUE"""),"")</f>
        <v/>
      </c>
      <c r="F718" s="54" t="str">
        <f ca="1">IFERROR(__xludf.DUMMYFUNCTION("""COMPUTED_VALUE"""),"")</f>
        <v/>
      </c>
      <c r="G718" s="38" t="str">
        <f ca="1">IFERROR(__xludf.DUMMYFUNCTION("""COMPUTED_VALUE"""),"")</f>
        <v/>
      </c>
      <c r="H718" s="38" t="str">
        <f ca="1">IFERROR(__xludf.DUMMYFUNCTION("""COMPUTED_VALUE"""),"")</f>
        <v/>
      </c>
    </row>
    <row r="719" spans="1:8" ht="12.75">
      <c r="A719" s="36" t="str">
        <f ca="1">IFERROR(__xludf.DUMMYFUNCTION("""COMPUTED_VALUE"""),"")</f>
        <v/>
      </c>
      <c r="B719" s="37"/>
      <c r="C719" s="54" t="str">
        <f ca="1">IFERROR(__xludf.DUMMYFUNCTION("""COMPUTED_VALUE"""),"")</f>
        <v/>
      </c>
      <c r="D719" s="54" t="str">
        <f ca="1">IFERROR(__xludf.DUMMYFUNCTION("""COMPUTED_VALUE"""),"")</f>
        <v/>
      </c>
      <c r="E719" s="55" t="str">
        <f ca="1">IFERROR(__xludf.DUMMYFUNCTION("""COMPUTED_VALUE"""),"")</f>
        <v/>
      </c>
      <c r="F719" s="54" t="str">
        <f ca="1">IFERROR(__xludf.DUMMYFUNCTION("""COMPUTED_VALUE"""),"")</f>
        <v/>
      </c>
      <c r="G719" s="38" t="str">
        <f ca="1">IFERROR(__xludf.DUMMYFUNCTION("""COMPUTED_VALUE"""),"")</f>
        <v/>
      </c>
      <c r="H719" s="38" t="str">
        <f ca="1">IFERROR(__xludf.DUMMYFUNCTION("""COMPUTED_VALUE"""),"")</f>
        <v/>
      </c>
    </row>
    <row r="720" spans="1:8" ht="12.75">
      <c r="A720" s="36" t="str">
        <f ca="1">IFERROR(__xludf.DUMMYFUNCTION("""COMPUTED_VALUE"""),"")</f>
        <v/>
      </c>
      <c r="B720" s="37"/>
      <c r="C720" s="54" t="str">
        <f ca="1">IFERROR(__xludf.DUMMYFUNCTION("""COMPUTED_VALUE"""),"")</f>
        <v/>
      </c>
      <c r="D720" s="54" t="str">
        <f ca="1">IFERROR(__xludf.DUMMYFUNCTION("""COMPUTED_VALUE"""),"")</f>
        <v/>
      </c>
      <c r="E720" s="55" t="str">
        <f ca="1">IFERROR(__xludf.DUMMYFUNCTION("""COMPUTED_VALUE"""),"")</f>
        <v/>
      </c>
      <c r="F720" s="54" t="str">
        <f ca="1">IFERROR(__xludf.DUMMYFUNCTION("""COMPUTED_VALUE"""),"")</f>
        <v/>
      </c>
      <c r="G720" s="38" t="str">
        <f ca="1">IFERROR(__xludf.DUMMYFUNCTION("""COMPUTED_VALUE"""),"")</f>
        <v/>
      </c>
      <c r="H720" s="38" t="str">
        <f ca="1">IFERROR(__xludf.DUMMYFUNCTION("""COMPUTED_VALUE"""),"")</f>
        <v/>
      </c>
    </row>
    <row r="721" spans="1:8" ht="12.75">
      <c r="A721" s="36" t="str">
        <f ca="1">IFERROR(__xludf.DUMMYFUNCTION("""COMPUTED_VALUE"""),"")</f>
        <v/>
      </c>
      <c r="B721" s="37"/>
      <c r="C721" s="54" t="str">
        <f ca="1">IFERROR(__xludf.DUMMYFUNCTION("""COMPUTED_VALUE"""),"")</f>
        <v/>
      </c>
      <c r="D721" s="54" t="str">
        <f ca="1">IFERROR(__xludf.DUMMYFUNCTION("""COMPUTED_VALUE"""),"")</f>
        <v/>
      </c>
      <c r="E721" s="55" t="str">
        <f ca="1">IFERROR(__xludf.DUMMYFUNCTION("""COMPUTED_VALUE"""),"")</f>
        <v/>
      </c>
      <c r="F721" s="54" t="str">
        <f ca="1">IFERROR(__xludf.DUMMYFUNCTION("""COMPUTED_VALUE"""),"")</f>
        <v/>
      </c>
      <c r="G721" s="38" t="str">
        <f ca="1">IFERROR(__xludf.DUMMYFUNCTION("""COMPUTED_VALUE"""),"")</f>
        <v/>
      </c>
      <c r="H721" s="38" t="str">
        <f ca="1">IFERROR(__xludf.DUMMYFUNCTION("""COMPUTED_VALUE"""),"")</f>
        <v/>
      </c>
    </row>
    <row r="722" spans="1:8" ht="12.75">
      <c r="A722" s="36" t="str">
        <f ca="1">IFERROR(__xludf.DUMMYFUNCTION("""COMPUTED_VALUE"""),"")</f>
        <v/>
      </c>
      <c r="B722" s="37"/>
      <c r="C722" s="54" t="str">
        <f ca="1">IFERROR(__xludf.DUMMYFUNCTION("""COMPUTED_VALUE"""),"")</f>
        <v/>
      </c>
      <c r="D722" s="54" t="str">
        <f ca="1">IFERROR(__xludf.DUMMYFUNCTION("""COMPUTED_VALUE"""),"")</f>
        <v/>
      </c>
      <c r="E722" s="55" t="str">
        <f ca="1">IFERROR(__xludf.DUMMYFUNCTION("""COMPUTED_VALUE"""),"")</f>
        <v/>
      </c>
      <c r="F722" s="54" t="str">
        <f ca="1">IFERROR(__xludf.DUMMYFUNCTION("""COMPUTED_VALUE"""),"")</f>
        <v/>
      </c>
      <c r="G722" s="38" t="str">
        <f ca="1">IFERROR(__xludf.DUMMYFUNCTION("""COMPUTED_VALUE"""),"")</f>
        <v/>
      </c>
      <c r="H722" s="38" t="str">
        <f ca="1">IFERROR(__xludf.DUMMYFUNCTION("""COMPUTED_VALUE"""),"")</f>
        <v/>
      </c>
    </row>
    <row r="723" spans="1:8" ht="12.75">
      <c r="A723" s="36" t="str">
        <f ca="1">IFERROR(__xludf.DUMMYFUNCTION("""COMPUTED_VALUE"""),"")</f>
        <v/>
      </c>
      <c r="B723" s="37"/>
      <c r="C723" s="54" t="str">
        <f ca="1">IFERROR(__xludf.DUMMYFUNCTION("""COMPUTED_VALUE"""),"")</f>
        <v/>
      </c>
      <c r="D723" s="54" t="str">
        <f ca="1">IFERROR(__xludf.DUMMYFUNCTION("""COMPUTED_VALUE"""),"")</f>
        <v/>
      </c>
      <c r="E723" s="55" t="str">
        <f ca="1">IFERROR(__xludf.DUMMYFUNCTION("""COMPUTED_VALUE"""),"")</f>
        <v/>
      </c>
      <c r="F723" s="54" t="str">
        <f ca="1">IFERROR(__xludf.DUMMYFUNCTION("""COMPUTED_VALUE"""),"")</f>
        <v/>
      </c>
      <c r="G723" s="38" t="str">
        <f ca="1">IFERROR(__xludf.DUMMYFUNCTION("""COMPUTED_VALUE"""),"")</f>
        <v/>
      </c>
      <c r="H723" s="38" t="str">
        <f ca="1">IFERROR(__xludf.DUMMYFUNCTION("""COMPUTED_VALUE"""),"")</f>
        <v/>
      </c>
    </row>
    <row r="724" spans="1:8" ht="12.75">
      <c r="A724" s="36" t="str">
        <f ca="1">IFERROR(__xludf.DUMMYFUNCTION("""COMPUTED_VALUE"""),"")</f>
        <v/>
      </c>
      <c r="B724" s="37"/>
      <c r="C724" s="54" t="str">
        <f ca="1">IFERROR(__xludf.DUMMYFUNCTION("""COMPUTED_VALUE"""),"")</f>
        <v/>
      </c>
      <c r="D724" s="54" t="str">
        <f ca="1">IFERROR(__xludf.DUMMYFUNCTION("""COMPUTED_VALUE"""),"")</f>
        <v/>
      </c>
      <c r="E724" s="55" t="str">
        <f ca="1">IFERROR(__xludf.DUMMYFUNCTION("""COMPUTED_VALUE"""),"")</f>
        <v/>
      </c>
      <c r="F724" s="54" t="str">
        <f ca="1">IFERROR(__xludf.DUMMYFUNCTION("""COMPUTED_VALUE"""),"")</f>
        <v/>
      </c>
      <c r="G724" s="38" t="str">
        <f ca="1">IFERROR(__xludf.DUMMYFUNCTION("""COMPUTED_VALUE"""),"")</f>
        <v/>
      </c>
      <c r="H724" s="38" t="str">
        <f ca="1">IFERROR(__xludf.DUMMYFUNCTION("""COMPUTED_VALUE"""),"")</f>
        <v/>
      </c>
    </row>
    <row r="725" spans="1:8" ht="12.75">
      <c r="A725" s="36" t="str">
        <f ca="1">IFERROR(__xludf.DUMMYFUNCTION("""COMPUTED_VALUE"""),"")</f>
        <v/>
      </c>
      <c r="B725" s="37"/>
      <c r="C725" s="54" t="str">
        <f ca="1">IFERROR(__xludf.DUMMYFUNCTION("""COMPUTED_VALUE"""),"")</f>
        <v/>
      </c>
      <c r="D725" s="54" t="str">
        <f ca="1">IFERROR(__xludf.DUMMYFUNCTION("""COMPUTED_VALUE"""),"")</f>
        <v/>
      </c>
      <c r="E725" s="55" t="str">
        <f ca="1">IFERROR(__xludf.DUMMYFUNCTION("""COMPUTED_VALUE"""),"")</f>
        <v/>
      </c>
      <c r="F725" s="54" t="str">
        <f ca="1">IFERROR(__xludf.DUMMYFUNCTION("""COMPUTED_VALUE"""),"")</f>
        <v/>
      </c>
      <c r="G725" s="38" t="str">
        <f ca="1">IFERROR(__xludf.DUMMYFUNCTION("""COMPUTED_VALUE"""),"")</f>
        <v/>
      </c>
      <c r="H725" s="38" t="str">
        <f ca="1">IFERROR(__xludf.DUMMYFUNCTION("""COMPUTED_VALUE"""),"")</f>
        <v/>
      </c>
    </row>
    <row r="726" spans="1:8" ht="12.75">
      <c r="A726" s="36" t="str">
        <f ca="1">IFERROR(__xludf.DUMMYFUNCTION("""COMPUTED_VALUE"""),"")</f>
        <v/>
      </c>
      <c r="B726" s="37"/>
      <c r="C726" s="54" t="str">
        <f ca="1">IFERROR(__xludf.DUMMYFUNCTION("""COMPUTED_VALUE"""),"")</f>
        <v/>
      </c>
      <c r="D726" s="54" t="str">
        <f ca="1">IFERROR(__xludf.DUMMYFUNCTION("""COMPUTED_VALUE"""),"")</f>
        <v/>
      </c>
      <c r="E726" s="55" t="str">
        <f ca="1">IFERROR(__xludf.DUMMYFUNCTION("""COMPUTED_VALUE"""),"")</f>
        <v/>
      </c>
      <c r="F726" s="54" t="str">
        <f ca="1">IFERROR(__xludf.DUMMYFUNCTION("""COMPUTED_VALUE"""),"")</f>
        <v/>
      </c>
      <c r="G726" s="38" t="str">
        <f ca="1">IFERROR(__xludf.DUMMYFUNCTION("""COMPUTED_VALUE"""),"")</f>
        <v/>
      </c>
      <c r="H726" s="38" t="str">
        <f ca="1">IFERROR(__xludf.DUMMYFUNCTION("""COMPUTED_VALUE"""),"")</f>
        <v/>
      </c>
    </row>
    <row r="727" spans="1:8" ht="12.75">
      <c r="A727" s="36" t="str">
        <f ca="1">IFERROR(__xludf.DUMMYFUNCTION("""COMPUTED_VALUE"""),"")</f>
        <v/>
      </c>
      <c r="B727" s="37"/>
      <c r="C727" s="54" t="str">
        <f ca="1">IFERROR(__xludf.DUMMYFUNCTION("""COMPUTED_VALUE"""),"")</f>
        <v/>
      </c>
      <c r="D727" s="54" t="str">
        <f ca="1">IFERROR(__xludf.DUMMYFUNCTION("""COMPUTED_VALUE"""),"")</f>
        <v/>
      </c>
      <c r="E727" s="55" t="str">
        <f ca="1">IFERROR(__xludf.DUMMYFUNCTION("""COMPUTED_VALUE"""),"")</f>
        <v/>
      </c>
      <c r="F727" s="54" t="str">
        <f ca="1">IFERROR(__xludf.DUMMYFUNCTION("""COMPUTED_VALUE"""),"")</f>
        <v/>
      </c>
      <c r="G727" s="38" t="str">
        <f ca="1">IFERROR(__xludf.DUMMYFUNCTION("""COMPUTED_VALUE"""),"")</f>
        <v/>
      </c>
      <c r="H727" s="38" t="str">
        <f ca="1">IFERROR(__xludf.DUMMYFUNCTION("""COMPUTED_VALUE"""),"")</f>
        <v/>
      </c>
    </row>
    <row r="728" spans="1:8" ht="12.75">
      <c r="A728" s="36" t="str">
        <f ca="1">IFERROR(__xludf.DUMMYFUNCTION("""COMPUTED_VALUE"""),"")</f>
        <v/>
      </c>
      <c r="B728" s="37"/>
      <c r="C728" s="54" t="str">
        <f ca="1">IFERROR(__xludf.DUMMYFUNCTION("""COMPUTED_VALUE"""),"")</f>
        <v/>
      </c>
      <c r="D728" s="54" t="str">
        <f ca="1">IFERROR(__xludf.DUMMYFUNCTION("""COMPUTED_VALUE"""),"")</f>
        <v/>
      </c>
      <c r="E728" s="55" t="str">
        <f ca="1">IFERROR(__xludf.DUMMYFUNCTION("""COMPUTED_VALUE"""),"")</f>
        <v/>
      </c>
      <c r="F728" s="54" t="str">
        <f ca="1">IFERROR(__xludf.DUMMYFUNCTION("""COMPUTED_VALUE"""),"")</f>
        <v/>
      </c>
      <c r="G728" s="38" t="str">
        <f ca="1">IFERROR(__xludf.DUMMYFUNCTION("""COMPUTED_VALUE"""),"")</f>
        <v/>
      </c>
      <c r="H728" s="38" t="str">
        <f ca="1">IFERROR(__xludf.DUMMYFUNCTION("""COMPUTED_VALUE"""),"")</f>
        <v/>
      </c>
    </row>
    <row r="729" spans="1:8" ht="12.75">
      <c r="A729" s="36" t="str">
        <f ca="1">IFERROR(__xludf.DUMMYFUNCTION("""COMPUTED_VALUE"""),"")</f>
        <v/>
      </c>
      <c r="B729" s="37"/>
      <c r="C729" s="54" t="str">
        <f ca="1">IFERROR(__xludf.DUMMYFUNCTION("""COMPUTED_VALUE"""),"")</f>
        <v/>
      </c>
      <c r="D729" s="54" t="str">
        <f ca="1">IFERROR(__xludf.DUMMYFUNCTION("""COMPUTED_VALUE"""),"")</f>
        <v/>
      </c>
      <c r="E729" s="55" t="str">
        <f ca="1">IFERROR(__xludf.DUMMYFUNCTION("""COMPUTED_VALUE"""),"")</f>
        <v/>
      </c>
      <c r="F729" s="54" t="str">
        <f ca="1">IFERROR(__xludf.DUMMYFUNCTION("""COMPUTED_VALUE"""),"")</f>
        <v/>
      </c>
      <c r="G729" s="38" t="str">
        <f ca="1">IFERROR(__xludf.DUMMYFUNCTION("""COMPUTED_VALUE"""),"")</f>
        <v/>
      </c>
      <c r="H729" s="38" t="str">
        <f ca="1">IFERROR(__xludf.DUMMYFUNCTION("""COMPUTED_VALUE"""),"")</f>
        <v/>
      </c>
    </row>
    <row r="730" spans="1:8" ht="12.75">
      <c r="A730" s="36" t="str">
        <f ca="1">IFERROR(__xludf.DUMMYFUNCTION("""COMPUTED_VALUE"""),"")</f>
        <v/>
      </c>
      <c r="B730" s="37"/>
      <c r="C730" s="54" t="str">
        <f ca="1">IFERROR(__xludf.DUMMYFUNCTION("""COMPUTED_VALUE"""),"")</f>
        <v/>
      </c>
      <c r="D730" s="54" t="str">
        <f ca="1">IFERROR(__xludf.DUMMYFUNCTION("""COMPUTED_VALUE"""),"")</f>
        <v/>
      </c>
      <c r="E730" s="55" t="str">
        <f ca="1">IFERROR(__xludf.DUMMYFUNCTION("""COMPUTED_VALUE"""),"")</f>
        <v/>
      </c>
      <c r="F730" s="54" t="str">
        <f ca="1">IFERROR(__xludf.DUMMYFUNCTION("""COMPUTED_VALUE"""),"")</f>
        <v/>
      </c>
      <c r="G730" s="38" t="str">
        <f ca="1">IFERROR(__xludf.DUMMYFUNCTION("""COMPUTED_VALUE"""),"")</f>
        <v/>
      </c>
      <c r="H730" s="38" t="str">
        <f ca="1">IFERROR(__xludf.DUMMYFUNCTION("""COMPUTED_VALUE"""),"")</f>
        <v/>
      </c>
    </row>
    <row r="731" spans="1:8" ht="12.75">
      <c r="A731" s="36" t="str">
        <f ca="1">IFERROR(__xludf.DUMMYFUNCTION("""COMPUTED_VALUE"""),"")</f>
        <v/>
      </c>
      <c r="B731" s="37"/>
      <c r="C731" s="54" t="str">
        <f ca="1">IFERROR(__xludf.DUMMYFUNCTION("""COMPUTED_VALUE"""),"")</f>
        <v/>
      </c>
      <c r="D731" s="54" t="str">
        <f ca="1">IFERROR(__xludf.DUMMYFUNCTION("""COMPUTED_VALUE"""),"")</f>
        <v/>
      </c>
      <c r="E731" s="55" t="str">
        <f ca="1">IFERROR(__xludf.DUMMYFUNCTION("""COMPUTED_VALUE"""),"")</f>
        <v/>
      </c>
      <c r="F731" s="54" t="str">
        <f ca="1">IFERROR(__xludf.DUMMYFUNCTION("""COMPUTED_VALUE"""),"")</f>
        <v/>
      </c>
      <c r="G731" s="38" t="str">
        <f ca="1">IFERROR(__xludf.DUMMYFUNCTION("""COMPUTED_VALUE"""),"")</f>
        <v/>
      </c>
      <c r="H731" s="38" t="str">
        <f ca="1">IFERROR(__xludf.DUMMYFUNCTION("""COMPUTED_VALUE"""),"")</f>
        <v/>
      </c>
    </row>
    <row r="732" spans="1:8" ht="12.75">
      <c r="A732" s="36" t="str">
        <f ca="1">IFERROR(__xludf.DUMMYFUNCTION("""COMPUTED_VALUE"""),"")</f>
        <v/>
      </c>
      <c r="B732" s="37"/>
      <c r="C732" s="54" t="str">
        <f ca="1">IFERROR(__xludf.DUMMYFUNCTION("""COMPUTED_VALUE"""),"")</f>
        <v/>
      </c>
      <c r="D732" s="54" t="str">
        <f ca="1">IFERROR(__xludf.DUMMYFUNCTION("""COMPUTED_VALUE"""),"")</f>
        <v/>
      </c>
      <c r="E732" s="55" t="str">
        <f ca="1">IFERROR(__xludf.DUMMYFUNCTION("""COMPUTED_VALUE"""),"")</f>
        <v/>
      </c>
      <c r="F732" s="54" t="str">
        <f ca="1">IFERROR(__xludf.DUMMYFUNCTION("""COMPUTED_VALUE"""),"")</f>
        <v/>
      </c>
      <c r="G732" s="38" t="str">
        <f ca="1">IFERROR(__xludf.DUMMYFUNCTION("""COMPUTED_VALUE"""),"")</f>
        <v/>
      </c>
      <c r="H732" s="38" t="str">
        <f ca="1">IFERROR(__xludf.DUMMYFUNCTION("""COMPUTED_VALUE"""),"")</f>
        <v/>
      </c>
    </row>
    <row r="733" spans="1:8" ht="12.75">
      <c r="A733" s="36" t="str">
        <f ca="1">IFERROR(__xludf.DUMMYFUNCTION("""COMPUTED_VALUE"""),"")</f>
        <v/>
      </c>
      <c r="B733" s="37"/>
      <c r="C733" s="54" t="str">
        <f ca="1">IFERROR(__xludf.DUMMYFUNCTION("""COMPUTED_VALUE"""),"")</f>
        <v/>
      </c>
      <c r="D733" s="54" t="str">
        <f ca="1">IFERROR(__xludf.DUMMYFUNCTION("""COMPUTED_VALUE"""),"")</f>
        <v/>
      </c>
      <c r="E733" s="55" t="str">
        <f ca="1">IFERROR(__xludf.DUMMYFUNCTION("""COMPUTED_VALUE"""),"")</f>
        <v/>
      </c>
      <c r="F733" s="54" t="str">
        <f ca="1">IFERROR(__xludf.DUMMYFUNCTION("""COMPUTED_VALUE"""),"")</f>
        <v/>
      </c>
      <c r="G733" s="38" t="str">
        <f ca="1">IFERROR(__xludf.DUMMYFUNCTION("""COMPUTED_VALUE"""),"")</f>
        <v/>
      </c>
      <c r="H733" s="38" t="str">
        <f ca="1">IFERROR(__xludf.DUMMYFUNCTION("""COMPUTED_VALUE"""),"")</f>
        <v/>
      </c>
    </row>
    <row r="734" spans="1:8" ht="12.75">
      <c r="A734" s="36" t="str">
        <f ca="1">IFERROR(__xludf.DUMMYFUNCTION("""COMPUTED_VALUE"""),"")</f>
        <v/>
      </c>
      <c r="B734" s="37"/>
      <c r="C734" s="54" t="str">
        <f ca="1">IFERROR(__xludf.DUMMYFUNCTION("""COMPUTED_VALUE"""),"")</f>
        <v/>
      </c>
      <c r="D734" s="54" t="str">
        <f ca="1">IFERROR(__xludf.DUMMYFUNCTION("""COMPUTED_VALUE"""),"")</f>
        <v/>
      </c>
      <c r="E734" s="55" t="str">
        <f ca="1">IFERROR(__xludf.DUMMYFUNCTION("""COMPUTED_VALUE"""),"")</f>
        <v/>
      </c>
      <c r="F734" s="54" t="str">
        <f ca="1">IFERROR(__xludf.DUMMYFUNCTION("""COMPUTED_VALUE"""),"")</f>
        <v/>
      </c>
      <c r="G734" s="38" t="str">
        <f ca="1">IFERROR(__xludf.DUMMYFUNCTION("""COMPUTED_VALUE"""),"")</f>
        <v/>
      </c>
      <c r="H734" s="38" t="str">
        <f ca="1">IFERROR(__xludf.DUMMYFUNCTION("""COMPUTED_VALUE"""),"")</f>
        <v/>
      </c>
    </row>
    <row r="735" spans="1:8" ht="12.75">
      <c r="A735" s="36" t="str">
        <f ca="1">IFERROR(__xludf.DUMMYFUNCTION("""COMPUTED_VALUE"""),"")</f>
        <v/>
      </c>
      <c r="B735" s="37"/>
      <c r="C735" s="54" t="str">
        <f ca="1">IFERROR(__xludf.DUMMYFUNCTION("""COMPUTED_VALUE"""),"")</f>
        <v/>
      </c>
      <c r="D735" s="54" t="str">
        <f ca="1">IFERROR(__xludf.DUMMYFUNCTION("""COMPUTED_VALUE"""),"")</f>
        <v/>
      </c>
      <c r="E735" s="55" t="str">
        <f ca="1">IFERROR(__xludf.DUMMYFUNCTION("""COMPUTED_VALUE"""),"")</f>
        <v/>
      </c>
      <c r="F735" s="54" t="str">
        <f ca="1">IFERROR(__xludf.DUMMYFUNCTION("""COMPUTED_VALUE"""),"")</f>
        <v/>
      </c>
      <c r="G735" s="38" t="str">
        <f ca="1">IFERROR(__xludf.DUMMYFUNCTION("""COMPUTED_VALUE"""),"")</f>
        <v/>
      </c>
      <c r="H735" s="38" t="str">
        <f ca="1">IFERROR(__xludf.DUMMYFUNCTION("""COMPUTED_VALUE"""),"")</f>
        <v/>
      </c>
    </row>
    <row r="736" spans="1:8" ht="12.75">
      <c r="A736" s="36" t="str">
        <f ca="1">IFERROR(__xludf.DUMMYFUNCTION("""COMPUTED_VALUE"""),"")</f>
        <v/>
      </c>
      <c r="B736" s="37"/>
      <c r="C736" s="54" t="str">
        <f ca="1">IFERROR(__xludf.DUMMYFUNCTION("""COMPUTED_VALUE"""),"")</f>
        <v/>
      </c>
      <c r="D736" s="54" t="str">
        <f ca="1">IFERROR(__xludf.DUMMYFUNCTION("""COMPUTED_VALUE"""),"")</f>
        <v/>
      </c>
      <c r="E736" s="55" t="str">
        <f ca="1">IFERROR(__xludf.DUMMYFUNCTION("""COMPUTED_VALUE"""),"")</f>
        <v/>
      </c>
      <c r="F736" s="54" t="str">
        <f ca="1">IFERROR(__xludf.DUMMYFUNCTION("""COMPUTED_VALUE"""),"")</f>
        <v/>
      </c>
      <c r="G736" s="38" t="str">
        <f ca="1">IFERROR(__xludf.DUMMYFUNCTION("""COMPUTED_VALUE"""),"")</f>
        <v/>
      </c>
      <c r="H736" s="38" t="str">
        <f ca="1">IFERROR(__xludf.DUMMYFUNCTION("""COMPUTED_VALUE"""),"")</f>
        <v/>
      </c>
    </row>
    <row r="737" spans="1:8" ht="12.75">
      <c r="A737" s="36" t="str">
        <f ca="1">IFERROR(__xludf.DUMMYFUNCTION("""COMPUTED_VALUE"""),"")</f>
        <v/>
      </c>
      <c r="B737" s="37"/>
      <c r="C737" s="54" t="str">
        <f ca="1">IFERROR(__xludf.DUMMYFUNCTION("""COMPUTED_VALUE"""),"")</f>
        <v/>
      </c>
      <c r="D737" s="54" t="str">
        <f ca="1">IFERROR(__xludf.DUMMYFUNCTION("""COMPUTED_VALUE"""),"")</f>
        <v/>
      </c>
      <c r="E737" s="55" t="str">
        <f ca="1">IFERROR(__xludf.DUMMYFUNCTION("""COMPUTED_VALUE"""),"")</f>
        <v/>
      </c>
      <c r="F737" s="54" t="str">
        <f ca="1">IFERROR(__xludf.DUMMYFUNCTION("""COMPUTED_VALUE"""),"")</f>
        <v/>
      </c>
      <c r="G737" s="38" t="str">
        <f ca="1">IFERROR(__xludf.DUMMYFUNCTION("""COMPUTED_VALUE"""),"")</f>
        <v/>
      </c>
      <c r="H737" s="38" t="str">
        <f ca="1">IFERROR(__xludf.DUMMYFUNCTION("""COMPUTED_VALUE"""),"")</f>
        <v/>
      </c>
    </row>
    <row r="738" spans="1:8" ht="12.75">
      <c r="A738" s="36" t="str">
        <f ca="1">IFERROR(__xludf.DUMMYFUNCTION("""COMPUTED_VALUE"""),"")</f>
        <v/>
      </c>
      <c r="B738" s="37"/>
      <c r="C738" s="54" t="str">
        <f ca="1">IFERROR(__xludf.DUMMYFUNCTION("""COMPUTED_VALUE"""),"")</f>
        <v/>
      </c>
      <c r="D738" s="54" t="str">
        <f ca="1">IFERROR(__xludf.DUMMYFUNCTION("""COMPUTED_VALUE"""),"")</f>
        <v/>
      </c>
      <c r="E738" s="55" t="str">
        <f ca="1">IFERROR(__xludf.DUMMYFUNCTION("""COMPUTED_VALUE"""),"")</f>
        <v/>
      </c>
      <c r="F738" s="54" t="str">
        <f ca="1">IFERROR(__xludf.DUMMYFUNCTION("""COMPUTED_VALUE"""),"")</f>
        <v/>
      </c>
      <c r="G738" s="38" t="str">
        <f ca="1">IFERROR(__xludf.DUMMYFUNCTION("""COMPUTED_VALUE"""),"")</f>
        <v/>
      </c>
      <c r="H738" s="38" t="str">
        <f ca="1">IFERROR(__xludf.DUMMYFUNCTION("""COMPUTED_VALUE"""),"")</f>
        <v/>
      </c>
    </row>
    <row r="739" spans="1:8" ht="12.75">
      <c r="A739" s="36" t="str">
        <f ca="1">IFERROR(__xludf.DUMMYFUNCTION("""COMPUTED_VALUE"""),"")</f>
        <v/>
      </c>
      <c r="B739" s="37"/>
      <c r="C739" s="54" t="str">
        <f ca="1">IFERROR(__xludf.DUMMYFUNCTION("""COMPUTED_VALUE"""),"")</f>
        <v/>
      </c>
      <c r="D739" s="54" t="str">
        <f ca="1">IFERROR(__xludf.DUMMYFUNCTION("""COMPUTED_VALUE"""),"")</f>
        <v/>
      </c>
      <c r="E739" s="55" t="str">
        <f ca="1">IFERROR(__xludf.DUMMYFUNCTION("""COMPUTED_VALUE"""),"")</f>
        <v/>
      </c>
      <c r="F739" s="54" t="str">
        <f ca="1">IFERROR(__xludf.DUMMYFUNCTION("""COMPUTED_VALUE"""),"")</f>
        <v/>
      </c>
      <c r="G739" s="38" t="str">
        <f ca="1">IFERROR(__xludf.DUMMYFUNCTION("""COMPUTED_VALUE"""),"")</f>
        <v/>
      </c>
      <c r="H739" s="38" t="str">
        <f ca="1">IFERROR(__xludf.DUMMYFUNCTION("""COMPUTED_VALUE"""),"")</f>
        <v/>
      </c>
    </row>
    <row r="740" spans="1:8" ht="12.75">
      <c r="A740" s="36" t="str">
        <f ca="1">IFERROR(__xludf.DUMMYFUNCTION("""COMPUTED_VALUE"""),"")</f>
        <v/>
      </c>
      <c r="B740" s="37"/>
      <c r="C740" s="54" t="str">
        <f ca="1">IFERROR(__xludf.DUMMYFUNCTION("""COMPUTED_VALUE"""),"")</f>
        <v/>
      </c>
      <c r="D740" s="54" t="str">
        <f ca="1">IFERROR(__xludf.DUMMYFUNCTION("""COMPUTED_VALUE"""),"")</f>
        <v/>
      </c>
      <c r="E740" s="55" t="str">
        <f ca="1">IFERROR(__xludf.DUMMYFUNCTION("""COMPUTED_VALUE"""),"")</f>
        <v/>
      </c>
      <c r="F740" s="54" t="str">
        <f ca="1">IFERROR(__xludf.DUMMYFUNCTION("""COMPUTED_VALUE"""),"")</f>
        <v/>
      </c>
      <c r="G740" s="38" t="str">
        <f ca="1">IFERROR(__xludf.DUMMYFUNCTION("""COMPUTED_VALUE"""),"")</f>
        <v/>
      </c>
      <c r="H740" s="38" t="str">
        <f ca="1">IFERROR(__xludf.DUMMYFUNCTION("""COMPUTED_VALUE"""),"")</f>
        <v/>
      </c>
    </row>
    <row r="741" spans="1:8" ht="12.75">
      <c r="A741" s="36" t="str">
        <f ca="1">IFERROR(__xludf.DUMMYFUNCTION("""COMPUTED_VALUE"""),"")</f>
        <v/>
      </c>
      <c r="B741" s="37"/>
      <c r="C741" s="54" t="str">
        <f ca="1">IFERROR(__xludf.DUMMYFUNCTION("""COMPUTED_VALUE"""),"")</f>
        <v/>
      </c>
      <c r="D741" s="54" t="str">
        <f ca="1">IFERROR(__xludf.DUMMYFUNCTION("""COMPUTED_VALUE"""),"")</f>
        <v/>
      </c>
      <c r="E741" s="55" t="str">
        <f ca="1">IFERROR(__xludf.DUMMYFUNCTION("""COMPUTED_VALUE"""),"")</f>
        <v/>
      </c>
      <c r="F741" s="54" t="str">
        <f ca="1">IFERROR(__xludf.DUMMYFUNCTION("""COMPUTED_VALUE"""),"")</f>
        <v/>
      </c>
      <c r="G741" s="38" t="str">
        <f ca="1">IFERROR(__xludf.DUMMYFUNCTION("""COMPUTED_VALUE"""),"")</f>
        <v/>
      </c>
      <c r="H741" s="38" t="str">
        <f ca="1">IFERROR(__xludf.DUMMYFUNCTION("""COMPUTED_VALUE"""),"")</f>
        <v/>
      </c>
    </row>
    <row r="742" spans="1:8" ht="12.75">
      <c r="A742" s="36" t="str">
        <f ca="1">IFERROR(__xludf.DUMMYFUNCTION("""COMPUTED_VALUE"""),"")</f>
        <v/>
      </c>
      <c r="B742" s="37"/>
      <c r="C742" s="54" t="str">
        <f ca="1">IFERROR(__xludf.DUMMYFUNCTION("""COMPUTED_VALUE"""),"")</f>
        <v/>
      </c>
      <c r="D742" s="54" t="str">
        <f ca="1">IFERROR(__xludf.DUMMYFUNCTION("""COMPUTED_VALUE"""),"")</f>
        <v/>
      </c>
      <c r="E742" s="55" t="str">
        <f ca="1">IFERROR(__xludf.DUMMYFUNCTION("""COMPUTED_VALUE"""),"")</f>
        <v/>
      </c>
      <c r="F742" s="54" t="str">
        <f ca="1">IFERROR(__xludf.DUMMYFUNCTION("""COMPUTED_VALUE"""),"")</f>
        <v/>
      </c>
      <c r="G742" s="38" t="str">
        <f ca="1">IFERROR(__xludf.DUMMYFUNCTION("""COMPUTED_VALUE"""),"")</f>
        <v/>
      </c>
      <c r="H742" s="38" t="str">
        <f ca="1">IFERROR(__xludf.DUMMYFUNCTION("""COMPUTED_VALUE"""),"")</f>
        <v/>
      </c>
    </row>
    <row r="743" spans="1:8" ht="12.75">
      <c r="A743" s="36" t="str">
        <f ca="1">IFERROR(__xludf.DUMMYFUNCTION("""COMPUTED_VALUE"""),"")</f>
        <v/>
      </c>
      <c r="B743" s="37"/>
      <c r="C743" s="54" t="str">
        <f ca="1">IFERROR(__xludf.DUMMYFUNCTION("""COMPUTED_VALUE"""),"")</f>
        <v/>
      </c>
      <c r="D743" s="54" t="str">
        <f ca="1">IFERROR(__xludf.DUMMYFUNCTION("""COMPUTED_VALUE"""),"")</f>
        <v/>
      </c>
      <c r="E743" s="55" t="str">
        <f ca="1">IFERROR(__xludf.DUMMYFUNCTION("""COMPUTED_VALUE"""),"")</f>
        <v/>
      </c>
      <c r="F743" s="54" t="str">
        <f ca="1">IFERROR(__xludf.DUMMYFUNCTION("""COMPUTED_VALUE"""),"")</f>
        <v/>
      </c>
      <c r="G743" s="38" t="str">
        <f ca="1">IFERROR(__xludf.DUMMYFUNCTION("""COMPUTED_VALUE"""),"")</f>
        <v/>
      </c>
      <c r="H743" s="38" t="str">
        <f ca="1">IFERROR(__xludf.DUMMYFUNCTION("""COMPUTED_VALUE"""),"")</f>
        <v/>
      </c>
    </row>
    <row r="744" spans="1:8" ht="12.75">
      <c r="A744" s="36" t="str">
        <f ca="1">IFERROR(__xludf.DUMMYFUNCTION("""COMPUTED_VALUE"""),"")</f>
        <v/>
      </c>
      <c r="B744" s="37"/>
      <c r="C744" s="54" t="str">
        <f ca="1">IFERROR(__xludf.DUMMYFUNCTION("""COMPUTED_VALUE"""),"")</f>
        <v/>
      </c>
      <c r="D744" s="54" t="str">
        <f ca="1">IFERROR(__xludf.DUMMYFUNCTION("""COMPUTED_VALUE"""),"")</f>
        <v/>
      </c>
      <c r="E744" s="55" t="str">
        <f ca="1">IFERROR(__xludf.DUMMYFUNCTION("""COMPUTED_VALUE"""),"")</f>
        <v/>
      </c>
      <c r="F744" s="54" t="str">
        <f ca="1">IFERROR(__xludf.DUMMYFUNCTION("""COMPUTED_VALUE"""),"")</f>
        <v/>
      </c>
      <c r="G744" s="38" t="str">
        <f ca="1">IFERROR(__xludf.DUMMYFUNCTION("""COMPUTED_VALUE"""),"")</f>
        <v/>
      </c>
      <c r="H744" s="38" t="str">
        <f ca="1">IFERROR(__xludf.DUMMYFUNCTION("""COMPUTED_VALUE"""),"")</f>
        <v/>
      </c>
    </row>
    <row r="745" spans="1:8" ht="12.75">
      <c r="A745" s="36" t="str">
        <f ca="1">IFERROR(__xludf.DUMMYFUNCTION("""COMPUTED_VALUE"""),"")</f>
        <v/>
      </c>
      <c r="B745" s="37"/>
      <c r="C745" s="54" t="str">
        <f ca="1">IFERROR(__xludf.DUMMYFUNCTION("""COMPUTED_VALUE"""),"")</f>
        <v/>
      </c>
      <c r="D745" s="54" t="str">
        <f ca="1">IFERROR(__xludf.DUMMYFUNCTION("""COMPUTED_VALUE"""),"")</f>
        <v/>
      </c>
      <c r="E745" s="55" t="str">
        <f ca="1">IFERROR(__xludf.DUMMYFUNCTION("""COMPUTED_VALUE"""),"")</f>
        <v/>
      </c>
      <c r="F745" s="54" t="str">
        <f ca="1">IFERROR(__xludf.DUMMYFUNCTION("""COMPUTED_VALUE"""),"")</f>
        <v/>
      </c>
      <c r="G745" s="38" t="str">
        <f ca="1">IFERROR(__xludf.DUMMYFUNCTION("""COMPUTED_VALUE"""),"")</f>
        <v/>
      </c>
      <c r="H745" s="38" t="str">
        <f ca="1">IFERROR(__xludf.DUMMYFUNCTION("""COMPUTED_VALUE"""),"")</f>
        <v/>
      </c>
    </row>
    <row r="746" spans="1:8" ht="12.75">
      <c r="A746" s="36" t="str">
        <f ca="1">IFERROR(__xludf.DUMMYFUNCTION("""COMPUTED_VALUE"""),"")</f>
        <v/>
      </c>
      <c r="B746" s="37"/>
      <c r="C746" s="54" t="str">
        <f ca="1">IFERROR(__xludf.DUMMYFUNCTION("""COMPUTED_VALUE"""),"")</f>
        <v/>
      </c>
      <c r="D746" s="54" t="str">
        <f ca="1">IFERROR(__xludf.DUMMYFUNCTION("""COMPUTED_VALUE"""),"")</f>
        <v/>
      </c>
      <c r="E746" s="55" t="str">
        <f ca="1">IFERROR(__xludf.DUMMYFUNCTION("""COMPUTED_VALUE"""),"")</f>
        <v/>
      </c>
      <c r="F746" s="54" t="str">
        <f ca="1">IFERROR(__xludf.DUMMYFUNCTION("""COMPUTED_VALUE"""),"")</f>
        <v/>
      </c>
      <c r="G746" s="38" t="str">
        <f ca="1">IFERROR(__xludf.DUMMYFUNCTION("""COMPUTED_VALUE"""),"")</f>
        <v/>
      </c>
      <c r="H746" s="38" t="str">
        <f ca="1">IFERROR(__xludf.DUMMYFUNCTION("""COMPUTED_VALUE"""),"")</f>
        <v/>
      </c>
    </row>
    <row r="747" spans="1:8" ht="12.75">
      <c r="A747" s="36" t="str">
        <f ca="1">IFERROR(__xludf.DUMMYFUNCTION("""COMPUTED_VALUE"""),"")</f>
        <v/>
      </c>
      <c r="B747" s="37"/>
      <c r="C747" s="54" t="str">
        <f ca="1">IFERROR(__xludf.DUMMYFUNCTION("""COMPUTED_VALUE"""),"")</f>
        <v/>
      </c>
      <c r="D747" s="54" t="str">
        <f ca="1">IFERROR(__xludf.DUMMYFUNCTION("""COMPUTED_VALUE"""),"")</f>
        <v/>
      </c>
      <c r="E747" s="55" t="str">
        <f ca="1">IFERROR(__xludf.DUMMYFUNCTION("""COMPUTED_VALUE"""),"")</f>
        <v/>
      </c>
      <c r="F747" s="54" t="str">
        <f ca="1">IFERROR(__xludf.DUMMYFUNCTION("""COMPUTED_VALUE"""),"")</f>
        <v/>
      </c>
      <c r="G747" s="38" t="str">
        <f ca="1">IFERROR(__xludf.DUMMYFUNCTION("""COMPUTED_VALUE"""),"")</f>
        <v/>
      </c>
      <c r="H747" s="38" t="str">
        <f ca="1">IFERROR(__xludf.DUMMYFUNCTION("""COMPUTED_VALUE"""),"")</f>
        <v/>
      </c>
    </row>
    <row r="748" spans="1:8" ht="12.75">
      <c r="A748" s="36" t="str">
        <f ca="1">IFERROR(__xludf.DUMMYFUNCTION("""COMPUTED_VALUE"""),"")</f>
        <v/>
      </c>
      <c r="B748" s="37"/>
      <c r="C748" s="54" t="str">
        <f ca="1">IFERROR(__xludf.DUMMYFUNCTION("""COMPUTED_VALUE"""),"")</f>
        <v/>
      </c>
      <c r="D748" s="54" t="str">
        <f ca="1">IFERROR(__xludf.DUMMYFUNCTION("""COMPUTED_VALUE"""),"")</f>
        <v/>
      </c>
      <c r="E748" s="55" t="str">
        <f ca="1">IFERROR(__xludf.DUMMYFUNCTION("""COMPUTED_VALUE"""),"")</f>
        <v/>
      </c>
      <c r="F748" s="54" t="str">
        <f ca="1">IFERROR(__xludf.DUMMYFUNCTION("""COMPUTED_VALUE"""),"")</f>
        <v/>
      </c>
      <c r="G748" s="38" t="str">
        <f ca="1">IFERROR(__xludf.DUMMYFUNCTION("""COMPUTED_VALUE"""),"")</f>
        <v/>
      </c>
      <c r="H748" s="38" t="str">
        <f ca="1">IFERROR(__xludf.DUMMYFUNCTION("""COMPUTED_VALUE"""),"")</f>
        <v/>
      </c>
    </row>
    <row r="749" spans="1:8" ht="12.75">
      <c r="A749" s="36" t="str">
        <f ca="1">IFERROR(__xludf.DUMMYFUNCTION("""COMPUTED_VALUE"""),"")</f>
        <v/>
      </c>
      <c r="B749" s="37"/>
      <c r="C749" s="54" t="str">
        <f ca="1">IFERROR(__xludf.DUMMYFUNCTION("""COMPUTED_VALUE"""),"")</f>
        <v/>
      </c>
      <c r="D749" s="54" t="str">
        <f ca="1">IFERROR(__xludf.DUMMYFUNCTION("""COMPUTED_VALUE"""),"")</f>
        <v/>
      </c>
      <c r="E749" s="55" t="str">
        <f ca="1">IFERROR(__xludf.DUMMYFUNCTION("""COMPUTED_VALUE"""),"")</f>
        <v/>
      </c>
      <c r="F749" s="54" t="str">
        <f ca="1">IFERROR(__xludf.DUMMYFUNCTION("""COMPUTED_VALUE"""),"")</f>
        <v/>
      </c>
      <c r="G749" s="38" t="str">
        <f ca="1">IFERROR(__xludf.DUMMYFUNCTION("""COMPUTED_VALUE"""),"")</f>
        <v/>
      </c>
      <c r="H749" s="38" t="str">
        <f ca="1">IFERROR(__xludf.DUMMYFUNCTION("""COMPUTED_VALUE"""),"")</f>
        <v/>
      </c>
    </row>
    <row r="750" spans="1:8" ht="12.75">
      <c r="A750" s="36" t="str">
        <f ca="1">IFERROR(__xludf.DUMMYFUNCTION("""COMPUTED_VALUE"""),"")</f>
        <v/>
      </c>
      <c r="B750" s="37"/>
      <c r="C750" s="54" t="str">
        <f ca="1">IFERROR(__xludf.DUMMYFUNCTION("""COMPUTED_VALUE"""),"")</f>
        <v/>
      </c>
      <c r="D750" s="54" t="str">
        <f ca="1">IFERROR(__xludf.DUMMYFUNCTION("""COMPUTED_VALUE"""),"")</f>
        <v/>
      </c>
      <c r="E750" s="55" t="str">
        <f ca="1">IFERROR(__xludf.DUMMYFUNCTION("""COMPUTED_VALUE"""),"")</f>
        <v/>
      </c>
      <c r="F750" s="54" t="str">
        <f ca="1">IFERROR(__xludf.DUMMYFUNCTION("""COMPUTED_VALUE"""),"")</f>
        <v/>
      </c>
      <c r="G750" s="38" t="str">
        <f ca="1">IFERROR(__xludf.DUMMYFUNCTION("""COMPUTED_VALUE"""),"")</f>
        <v/>
      </c>
      <c r="H750" s="38" t="str">
        <f ca="1">IFERROR(__xludf.DUMMYFUNCTION("""COMPUTED_VALUE"""),"")</f>
        <v/>
      </c>
    </row>
    <row r="751" spans="1:8" ht="12.75">
      <c r="A751" s="36" t="str">
        <f ca="1">IFERROR(__xludf.DUMMYFUNCTION("""COMPUTED_VALUE"""),"")</f>
        <v/>
      </c>
      <c r="B751" s="37"/>
      <c r="C751" s="54" t="str">
        <f ca="1">IFERROR(__xludf.DUMMYFUNCTION("""COMPUTED_VALUE"""),"")</f>
        <v/>
      </c>
      <c r="D751" s="54" t="str">
        <f ca="1">IFERROR(__xludf.DUMMYFUNCTION("""COMPUTED_VALUE"""),"")</f>
        <v/>
      </c>
      <c r="E751" s="55" t="str">
        <f ca="1">IFERROR(__xludf.DUMMYFUNCTION("""COMPUTED_VALUE"""),"")</f>
        <v/>
      </c>
      <c r="F751" s="54" t="str">
        <f ca="1">IFERROR(__xludf.DUMMYFUNCTION("""COMPUTED_VALUE"""),"")</f>
        <v/>
      </c>
      <c r="G751" s="38" t="str">
        <f ca="1">IFERROR(__xludf.DUMMYFUNCTION("""COMPUTED_VALUE"""),"")</f>
        <v/>
      </c>
      <c r="H751" s="38" t="str">
        <f ca="1">IFERROR(__xludf.DUMMYFUNCTION("""COMPUTED_VALUE"""),"")</f>
        <v/>
      </c>
    </row>
    <row r="752" spans="1:8" ht="12.75">
      <c r="A752" s="36" t="str">
        <f ca="1">IFERROR(__xludf.DUMMYFUNCTION("""COMPUTED_VALUE"""),"")</f>
        <v/>
      </c>
      <c r="B752" s="37"/>
      <c r="C752" s="54" t="str">
        <f ca="1">IFERROR(__xludf.DUMMYFUNCTION("""COMPUTED_VALUE"""),"")</f>
        <v/>
      </c>
      <c r="D752" s="54" t="str">
        <f ca="1">IFERROR(__xludf.DUMMYFUNCTION("""COMPUTED_VALUE"""),"")</f>
        <v/>
      </c>
      <c r="E752" s="55" t="str">
        <f ca="1">IFERROR(__xludf.DUMMYFUNCTION("""COMPUTED_VALUE"""),"")</f>
        <v/>
      </c>
      <c r="F752" s="54" t="str">
        <f ca="1">IFERROR(__xludf.DUMMYFUNCTION("""COMPUTED_VALUE"""),"")</f>
        <v/>
      </c>
      <c r="G752" s="38" t="str">
        <f ca="1">IFERROR(__xludf.DUMMYFUNCTION("""COMPUTED_VALUE"""),"")</f>
        <v/>
      </c>
      <c r="H752" s="38" t="str">
        <f ca="1">IFERROR(__xludf.DUMMYFUNCTION("""COMPUTED_VALUE"""),"")</f>
        <v/>
      </c>
    </row>
    <row r="753" spans="1:8" ht="12.75">
      <c r="A753" s="36" t="str">
        <f ca="1">IFERROR(__xludf.DUMMYFUNCTION("""COMPUTED_VALUE"""),"")</f>
        <v/>
      </c>
      <c r="B753" s="37"/>
      <c r="C753" s="54" t="str">
        <f ca="1">IFERROR(__xludf.DUMMYFUNCTION("""COMPUTED_VALUE"""),"")</f>
        <v/>
      </c>
      <c r="D753" s="54" t="str">
        <f ca="1">IFERROR(__xludf.DUMMYFUNCTION("""COMPUTED_VALUE"""),"")</f>
        <v/>
      </c>
      <c r="E753" s="55" t="str">
        <f ca="1">IFERROR(__xludf.DUMMYFUNCTION("""COMPUTED_VALUE"""),"")</f>
        <v/>
      </c>
      <c r="F753" s="54" t="str">
        <f ca="1">IFERROR(__xludf.DUMMYFUNCTION("""COMPUTED_VALUE"""),"")</f>
        <v/>
      </c>
      <c r="G753" s="38" t="str">
        <f ca="1">IFERROR(__xludf.DUMMYFUNCTION("""COMPUTED_VALUE"""),"")</f>
        <v/>
      </c>
      <c r="H753" s="38" t="str">
        <f ca="1">IFERROR(__xludf.DUMMYFUNCTION("""COMPUTED_VALUE"""),"")</f>
        <v/>
      </c>
    </row>
    <row r="754" spans="1:8" ht="12.75">
      <c r="A754" s="36" t="str">
        <f ca="1">IFERROR(__xludf.DUMMYFUNCTION("""COMPUTED_VALUE"""),"")</f>
        <v/>
      </c>
      <c r="B754" s="37"/>
      <c r="C754" s="54" t="str">
        <f ca="1">IFERROR(__xludf.DUMMYFUNCTION("""COMPUTED_VALUE"""),"")</f>
        <v/>
      </c>
      <c r="D754" s="54" t="str">
        <f ca="1">IFERROR(__xludf.DUMMYFUNCTION("""COMPUTED_VALUE"""),"")</f>
        <v/>
      </c>
      <c r="E754" s="55" t="str">
        <f ca="1">IFERROR(__xludf.DUMMYFUNCTION("""COMPUTED_VALUE"""),"")</f>
        <v/>
      </c>
      <c r="F754" s="54" t="str">
        <f ca="1">IFERROR(__xludf.DUMMYFUNCTION("""COMPUTED_VALUE"""),"")</f>
        <v/>
      </c>
      <c r="G754" s="38" t="str">
        <f ca="1">IFERROR(__xludf.DUMMYFUNCTION("""COMPUTED_VALUE"""),"")</f>
        <v/>
      </c>
      <c r="H754" s="38" t="str">
        <f ca="1">IFERROR(__xludf.DUMMYFUNCTION("""COMPUTED_VALUE"""),"")</f>
        <v/>
      </c>
    </row>
    <row r="755" spans="1:8" ht="12.75">
      <c r="A755" s="36" t="str">
        <f ca="1">IFERROR(__xludf.DUMMYFUNCTION("""COMPUTED_VALUE"""),"")</f>
        <v/>
      </c>
      <c r="B755" s="37"/>
      <c r="C755" s="54" t="str">
        <f ca="1">IFERROR(__xludf.DUMMYFUNCTION("""COMPUTED_VALUE"""),"")</f>
        <v/>
      </c>
      <c r="D755" s="54" t="str">
        <f ca="1">IFERROR(__xludf.DUMMYFUNCTION("""COMPUTED_VALUE"""),"")</f>
        <v/>
      </c>
      <c r="E755" s="55" t="str">
        <f ca="1">IFERROR(__xludf.DUMMYFUNCTION("""COMPUTED_VALUE"""),"")</f>
        <v/>
      </c>
      <c r="F755" s="54" t="str">
        <f ca="1">IFERROR(__xludf.DUMMYFUNCTION("""COMPUTED_VALUE"""),"")</f>
        <v/>
      </c>
      <c r="G755" s="38" t="str">
        <f ca="1">IFERROR(__xludf.DUMMYFUNCTION("""COMPUTED_VALUE"""),"")</f>
        <v/>
      </c>
      <c r="H755" s="38" t="str">
        <f ca="1">IFERROR(__xludf.DUMMYFUNCTION("""COMPUTED_VALUE"""),"")</f>
        <v/>
      </c>
    </row>
    <row r="756" spans="1:8" ht="12.75">
      <c r="A756" s="36" t="str">
        <f ca="1">IFERROR(__xludf.DUMMYFUNCTION("""COMPUTED_VALUE"""),"")</f>
        <v/>
      </c>
      <c r="B756" s="37"/>
      <c r="C756" s="54" t="str">
        <f ca="1">IFERROR(__xludf.DUMMYFUNCTION("""COMPUTED_VALUE"""),"")</f>
        <v/>
      </c>
      <c r="D756" s="54" t="str">
        <f ca="1">IFERROR(__xludf.DUMMYFUNCTION("""COMPUTED_VALUE"""),"")</f>
        <v/>
      </c>
      <c r="E756" s="55" t="str">
        <f ca="1">IFERROR(__xludf.DUMMYFUNCTION("""COMPUTED_VALUE"""),"")</f>
        <v/>
      </c>
      <c r="F756" s="54" t="str">
        <f ca="1">IFERROR(__xludf.DUMMYFUNCTION("""COMPUTED_VALUE"""),"")</f>
        <v/>
      </c>
      <c r="G756" s="38" t="str">
        <f ca="1">IFERROR(__xludf.DUMMYFUNCTION("""COMPUTED_VALUE"""),"")</f>
        <v/>
      </c>
      <c r="H756" s="38" t="str">
        <f ca="1">IFERROR(__xludf.DUMMYFUNCTION("""COMPUTED_VALUE"""),"")</f>
        <v/>
      </c>
    </row>
    <row r="757" spans="1:8" ht="12.75">
      <c r="A757" s="36" t="str">
        <f ca="1">IFERROR(__xludf.DUMMYFUNCTION("""COMPUTED_VALUE"""),"")</f>
        <v/>
      </c>
      <c r="B757" s="37"/>
      <c r="C757" s="54" t="str">
        <f ca="1">IFERROR(__xludf.DUMMYFUNCTION("""COMPUTED_VALUE"""),"")</f>
        <v/>
      </c>
      <c r="D757" s="54" t="str">
        <f ca="1">IFERROR(__xludf.DUMMYFUNCTION("""COMPUTED_VALUE"""),"")</f>
        <v/>
      </c>
      <c r="E757" s="55" t="str">
        <f ca="1">IFERROR(__xludf.DUMMYFUNCTION("""COMPUTED_VALUE"""),"")</f>
        <v/>
      </c>
      <c r="F757" s="54" t="str">
        <f ca="1">IFERROR(__xludf.DUMMYFUNCTION("""COMPUTED_VALUE"""),"")</f>
        <v/>
      </c>
      <c r="G757" s="38" t="str">
        <f ca="1">IFERROR(__xludf.DUMMYFUNCTION("""COMPUTED_VALUE"""),"")</f>
        <v/>
      </c>
      <c r="H757" s="38" t="str">
        <f ca="1">IFERROR(__xludf.DUMMYFUNCTION("""COMPUTED_VALUE"""),"")</f>
        <v/>
      </c>
    </row>
    <row r="758" spans="1:8" ht="12.75">
      <c r="A758" s="36" t="str">
        <f ca="1">IFERROR(__xludf.DUMMYFUNCTION("""COMPUTED_VALUE"""),"")</f>
        <v/>
      </c>
      <c r="B758" s="37"/>
      <c r="C758" s="54" t="str">
        <f ca="1">IFERROR(__xludf.DUMMYFUNCTION("""COMPUTED_VALUE"""),"")</f>
        <v/>
      </c>
      <c r="D758" s="54" t="str">
        <f ca="1">IFERROR(__xludf.DUMMYFUNCTION("""COMPUTED_VALUE"""),"")</f>
        <v/>
      </c>
      <c r="E758" s="55" t="str">
        <f ca="1">IFERROR(__xludf.DUMMYFUNCTION("""COMPUTED_VALUE"""),"")</f>
        <v/>
      </c>
      <c r="F758" s="54" t="str">
        <f ca="1">IFERROR(__xludf.DUMMYFUNCTION("""COMPUTED_VALUE"""),"")</f>
        <v/>
      </c>
      <c r="G758" s="38" t="str">
        <f ca="1">IFERROR(__xludf.DUMMYFUNCTION("""COMPUTED_VALUE"""),"")</f>
        <v/>
      </c>
      <c r="H758" s="38" t="str">
        <f ca="1">IFERROR(__xludf.DUMMYFUNCTION("""COMPUTED_VALUE"""),"")</f>
        <v/>
      </c>
    </row>
    <row r="759" spans="1:8" ht="12.75">
      <c r="A759" s="36" t="str">
        <f ca="1">IFERROR(__xludf.DUMMYFUNCTION("""COMPUTED_VALUE"""),"")</f>
        <v/>
      </c>
      <c r="B759" s="37"/>
      <c r="C759" s="54" t="str">
        <f ca="1">IFERROR(__xludf.DUMMYFUNCTION("""COMPUTED_VALUE"""),"")</f>
        <v/>
      </c>
      <c r="D759" s="54" t="str">
        <f ca="1">IFERROR(__xludf.DUMMYFUNCTION("""COMPUTED_VALUE"""),"")</f>
        <v/>
      </c>
      <c r="E759" s="55" t="str">
        <f ca="1">IFERROR(__xludf.DUMMYFUNCTION("""COMPUTED_VALUE"""),"")</f>
        <v/>
      </c>
      <c r="F759" s="54" t="str">
        <f ca="1">IFERROR(__xludf.DUMMYFUNCTION("""COMPUTED_VALUE"""),"")</f>
        <v/>
      </c>
      <c r="G759" s="38" t="str">
        <f ca="1">IFERROR(__xludf.DUMMYFUNCTION("""COMPUTED_VALUE"""),"")</f>
        <v/>
      </c>
      <c r="H759" s="38" t="str">
        <f ca="1">IFERROR(__xludf.DUMMYFUNCTION("""COMPUTED_VALUE"""),"")</f>
        <v/>
      </c>
    </row>
    <row r="760" spans="1:8" ht="12.75">
      <c r="A760" s="36" t="str">
        <f ca="1">IFERROR(__xludf.DUMMYFUNCTION("""COMPUTED_VALUE"""),"")</f>
        <v/>
      </c>
      <c r="B760" s="37"/>
      <c r="C760" s="54" t="str">
        <f ca="1">IFERROR(__xludf.DUMMYFUNCTION("""COMPUTED_VALUE"""),"")</f>
        <v/>
      </c>
      <c r="D760" s="54" t="str">
        <f ca="1">IFERROR(__xludf.DUMMYFUNCTION("""COMPUTED_VALUE"""),"")</f>
        <v/>
      </c>
      <c r="E760" s="55" t="str">
        <f ca="1">IFERROR(__xludf.DUMMYFUNCTION("""COMPUTED_VALUE"""),"")</f>
        <v/>
      </c>
      <c r="F760" s="54" t="str">
        <f ca="1">IFERROR(__xludf.DUMMYFUNCTION("""COMPUTED_VALUE"""),"")</f>
        <v/>
      </c>
      <c r="G760" s="38" t="str">
        <f ca="1">IFERROR(__xludf.DUMMYFUNCTION("""COMPUTED_VALUE"""),"")</f>
        <v/>
      </c>
      <c r="H760" s="38" t="str">
        <f ca="1">IFERROR(__xludf.DUMMYFUNCTION("""COMPUTED_VALUE"""),"")</f>
        <v/>
      </c>
    </row>
    <row r="761" spans="1:8" ht="12.75">
      <c r="A761" s="36" t="str">
        <f ca="1">IFERROR(__xludf.DUMMYFUNCTION("""COMPUTED_VALUE"""),"")</f>
        <v/>
      </c>
      <c r="B761" s="37"/>
      <c r="C761" s="54" t="str">
        <f ca="1">IFERROR(__xludf.DUMMYFUNCTION("""COMPUTED_VALUE"""),"")</f>
        <v/>
      </c>
      <c r="D761" s="54" t="str">
        <f ca="1">IFERROR(__xludf.DUMMYFUNCTION("""COMPUTED_VALUE"""),"")</f>
        <v/>
      </c>
      <c r="E761" s="55" t="str">
        <f ca="1">IFERROR(__xludf.DUMMYFUNCTION("""COMPUTED_VALUE"""),"")</f>
        <v/>
      </c>
      <c r="F761" s="54" t="str">
        <f ca="1">IFERROR(__xludf.DUMMYFUNCTION("""COMPUTED_VALUE"""),"")</f>
        <v/>
      </c>
      <c r="G761" s="38" t="str">
        <f ca="1">IFERROR(__xludf.DUMMYFUNCTION("""COMPUTED_VALUE"""),"")</f>
        <v/>
      </c>
      <c r="H761" s="38" t="str">
        <f ca="1">IFERROR(__xludf.DUMMYFUNCTION("""COMPUTED_VALUE"""),"")</f>
        <v/>
      </c>
    </row>
    <row r="762" spans="1:8" ht="12.75">
      <c r="A762" s="36" t="str">
        <f ca="1">IFERROR(__xludf.DUMMYFUNCTION("""COMPUTED_VALUE"""),"")</f>
        <v/>
      </c>
      <c r="B762" s="37"/>
      <c r="C762" s="54" t="str">
        <f ca="1">IFERROR(__xludf.DUMMYFUNCTION("""COMPUTED_VALUE"""),"")</f>
        <v/>
      </c>
      <c r="D762" s="54" t="str">
        <f ca="1">IFERROR(__xludf.DUMMYFUNCTION("""COMPUTED_VALUE"""),"")</f>
        <v/>
      </c>
      <c r="E762" s="55" t="str">
        <f ca="1">IFERROR(__xludf.DUMMYFUNCTION("""COMPUTED_VALUE"""),"")</f>
        <v/>
      </c>
      <c r="F762" s="54" t="str">
        <f ca="1">IFERROR(__xludf.DUMMYFUNCTION("""COMPUTED_VALUE"""),"")</f>
        <v/>
      </c>
      <c r="G762" s="38" t="str">
        <f ca="1">IFERROR(__xludf.DUMMYFUNCTION("""COMPUTED_VALUE"""),"")</f>
        <v/>
      </c>
      <c r="H762" s="38" t="str">
        <f ca="1">IFERROR(__xludf.DUMMYFUNCTION("""COMPUTED_VALUE"""),"")</f>
        <v/>
      </c>
    </row>
    <row r="763" spans="1:8" ht="12.75">
      <c r="A763" s="36" t="str">
        <f ca="1">IFERROR(__xludf.DUMMYFUNCTION("""COMPUTED_VALUE"""),"")</f>
        <v/>
      </c>
      <c r="B763" s="37"/>
      <c r="C763" s="54" t="str">
        <f ca="1">IFERROR(__xludf.DUMMYFUNCTION("""COMPUTED_VALUE"""),"")</f>
        <v/>
      </c>
      <c r="D763" s="54" t="str">
        <f ca="1">IFERROR(__xludf.DUMMYFUNCTION("""COMPUTED_VALUE"""),"")</f>
        <v/>
      </c>
      <c r="E763" s="55" t="str">
        <f ca="1">IFERROR(__xludf.DUMMYFUNCTION("""COMPUTED_VALUE"""),"")</f>
        <v/>
      </c>
      <c r="F763" s="54" t="str">
        <f ca="1">IFERROR(__xludf.DUMMYFUNCTION("""COMPUTED_VALUE"""),"")</f>
        <v/>
      </c>
      <c r="G763" s="38" t="str">
        <f ca="1">IFERROR(__xludf.DUMMYFUNCTION("""COMPUTED_VALUE"""),"")</f>
        <v/>
      </c>
      <c r="H763" s="38" t="str">
        <f ca="1">IFERROR(__xludf.DUMMYFUNCTION("""COMPUTED_VALUE"""),"")</f>
        <v/>
      </c>
    </row>
    <row r="764" spans="1:8" ht="12.75">
      <c r="A764" s="36" t="str">
        <f ca="1">IFERROR(__xludf.DUMMYFUNCTION("""COMPUTED_VALUE"""),"")</f>
        <v/>
      </c>
      <c r="B764" s="37"/>
      <c r="C764" s="54" t="str">
        <f ca="1">IFERROR(__xludf.DUMMYFUNCTION("""COMPUTED_VALUE"""),"")</f>
        <v/>
      </c>
      <c r="D764" s="54" t="str">
        <f ca="1">IFERROR(__xludf.DUMMYFUNCTION("""COMPUTED_VALUE"""),"")</f>
        <v/>
      </c>
      <c r="E764" s="55" t="str">
        <f ca="1">IFERROR(__xludf.DUMMYFUNCTION("""COMPUTED_VALUE"""),"")</f>
        <v/>
      </c>
      <c r="F764" s="54" t="str">
        <f ca="1">IFERROR(__xludf.DUMMYFUNCTION("""COMPUTED_VALUE"""),"")</f>
        <v/>
      </c>
      <c r="G764" s="38" t="str">
        <f ca="1">IFERROR(__xludf.DUMMYFUNCTION("""COMPUTED_VALUE"""),"")</f>
        <v/>
      </c>
      <c r="H764" s="38" t="str">
        <f ca="1">IFERROR(__xludf.DUMMYFUNCTION("""COMPUTED_VALUE"""),"")</f>
        <v/>
      </c>
    </row>
    <row r="765" spans="1:8" ht="12.75">
      <c r="A765" s="36" t="str">
        <f ca="1">IFERROR(__xludf.DUMMYFUNCTION("""COMPUTED_VALUE"""),"")</f>
        <v/>
      </c>
      <c r="B765" s="37"/>
      <c r="C765" s="54" t="str">
        <f ca="1">IFERROR(__xludf.DUMMYFUNCTION("""COMPUTED_VALUE"""),"")</f>
        <v/>
      </c>
      <c r="D765" s="54" t="str">
        <f ca="1">IFERROR(__xludf.DUMMYFUNCTION("""COMPUTED_VALUE"""),"")</f>
        <v/>
      </c>
      <c r="E765" s="55" t="str">
        <f ca="1">IFERROR(__xludf.DUMMYFUNCTION("""COMPUTED_VALUE"""),"")</f>
        <v/>
      </c>
      <c r="F765" s="54" t="str">
        <f ca="1">IFERROR(__xludf.DUMMYFUNCTION("""COMPUTED_VALUE"""),"")</f>
        <v/>
      </c>
      <c r="G765" s="38" t="str">
        <f ca="1">IFERROR(__xludf.DUMMYFUNCTION("""COMPUTED_VALUE"""),"")</f>
        <v/>
      </c>
      <c r="H765" s="38" t="str">
        <f ca="1">IFERROR(__xludf.DUMMYFUNCTION("""COMPUTED_VALUE"""),"")</f>
        <v/>
      </c>
    </row>
    <row r="766" spans="1:8" ht="12.75">
      <c r="A766" s="36" t="str">
        <f ca="1">IFERROR(__xludf.DUMMYFUNCTION("""COMPUTED_VALUE"""),"")</f>
        <v/>
      </c>
      <c r="B766" s="37"/>
      <c r="C766" s="54" t="str">
        <f ca="1">IFERROR(__xludf.DUMMYFUNCTION("""COMPUTED_VALUE"""),"")</f>
        <v/>
      </c>
      <c r="D766" s="54" t="str">
        <f ca="1">IFERROR(__xludf.DUMMYFUNCTION("""COMPUTED_VALUE"""),"")</f>
        <v/>
      </c>
      <c r="E766" s="55" t="str">
        <f ca="1">IFERROR(__xludf.DUMMYFUNCTION("""COMPUTED_VALUE"""),"")</f>
        <v/>
      </c>
      <c r="F766" s="54" t="str">
        <f ca="1">IFERROR(__xludf.DUMMYFUNCTION("""COMPUTED_VALUE"""),"")</f>
        <v/>
      </c>
      <c r="G766" s="38" t="str">
        <f ca="1">IFERROR(__xludf.DUMMYFUNCTION("""COMPUTED_VALUE"""),"")</f>
        <v/>
      </c>
      <c r="H766" s="38" t="str">
        <f ca="1">IFERROR(__xludf.DUMMYFUNCTION("""COMPUTED_VALUE"""),"")</f>
        <v/>
      </c>
    </row>
    <row r="767" spans="1:8" ht="12.75">
      <c r="A767" s="36" t="str">
        <f ca="1">IFERROR(__xludf.DUMMYFUNCTION("""COMPUTED_VALUE"""),"")</f>
        <v/>
      </c>
      <c r="B767" s="37"/>
      <c r="C767" s="54" t="str">
        <f ca="1">IFERROR(__xludf.DUMMYFUNCTION("""COMPUTED_VALUE"""),"")</f>
        <v/>
      </c>
      <c r="D767" s="54" t="str">
        <f ca="1">IFERROR(__xludf.DUMMYFUNCTION("""COMPUTED_VALUE"""),"")</f>
        <v/>
      </c>
      <c r="E767" s="55" t="str">
        <f ca="1">IFERROR(__xludf.DUMMYFUNCTION("""COMPUTED_VALUE"""),"")</f>
        <v/>
      </c>
      <c r="F767" s="54" t="str">
        <f ca="1">IFERROR(__xludf.DUMMYFUNCTION("""COMPUTED_VALUE"""),"")</f>
        <v/>
      </c>
      <c r="G767" s="38" t="str">
        <f ca="1">IFERROR(__xludf.DUMMYFUNCTION("""COMPUTED_VALUE"""),"")</f>
        <v/>
      </c>
      <c r="H767" s="38" t="str">
        <f ca="1">IFERROR(__xludf.DUMMYFUNCTION("""COMPUTED_VALUE"""),"")</f>
        <v/>
      </c>
    </row>
    <row r="768" spans="1:8" ht="12.75">
      <c r="A768" s="36" t="str">
        <f ca="1">IFERROR(__xludf.DUMMYFUNCTION("""COMPUTED_VALUE"""),"")</f>
        <v/>
      </c>
      <c r="B768" s="37"/>
      <c r="C768" s="54" t="str">
        <f ca="1">IFERROR(__xludf.DUMMYFUNCTION("""COMPUTED_VALUE"""),"")</f>
        <v/>
      </c>
      <c r="D768" s="54" t="str">
        <f ca="1">IFERROR(__xludf.DUMMYFUNCTION("""COMPUTED_VALUE"""),"")</f>
        <v/>
      </c>
      <c r="E768" s="55" t="str">
        <f ca="1">IFERROR(__xludf.DUMMYFUNCTION("""COMPUTED_VALUE"""),"")</f>
        <v/>
      </c>
      <c r="F768" s="54" t="str">
        <f ca="1">IFERROR(__xludf.DUMMYFUNCTION("""COMPUTED_VALUE"""),"")</f>
        <v/>
      </c>
      <c r="G768" s="38" t="str">
        <f ca="1">IFERROR(__xludf.DUMMYFUNCTION("""COMPUTED_VALUE"""),"")</f>
        <v/>
      </c>
      <c r="H768" s="38" t="str">
        <f ca="1">IFERROR(__xludf.DUMMYFUNCTION("""COMPUTED_VALUE"""),"")</f>
        <v/>
      </c>
    </row>
    <row r="769" spans="1:8" ht="12.75">
      <c r="A769" s="36" t="str">
        <f ca="1">IFERROR(__xludf.DUMMYFUNCTION("""COMPUTED_VALUE"""),"")</f>
        <v/>
      </c>
      <c r="B769" s="37"/>
      <c r="C769" s="54" t="str">
        <f ca="1">IFERROR(__xludf.DUMMYFUNCTION("""COMPUTED_VALUE"""),"")</f>
        <v/>
      </c>
      <c r="D769" s="54" t="str">
        <f ca="1">IFERROR(__xludf.DUMMYFUNCTION("""COMPUTED_VALUE"""),"")</f>
        <v/>
      </c>
      <c r="E769" s="55" t="str">
        <f ca="1">IFERROR(__xludf.DUMMYFUNCTION("""COMPUTED_VALUE"""),"")</f>
        <v/>
      </c>
      <c r="F769" s="54" t="str">
        <f ca="1">IFERROR(__xludf.DUMMYFUNCTION("""COMPUTED_VALUE"""),"")</f>
        <v/>
      </c>
      <c r="G769" s="38" t="str">
        <f ca="1">IFERROR(__xludf.DUMMYFUNCTION("""COMPUTED_VALUE"""),"")</f>
        <v/>
      </c>
      <c r="H769" s="38" t="str">
        <f ca="1">IFERROR(__xludf.DUMMYFUNCTION("""COMPUTED_VALUE"""),"")</f>
        <v/>
      </c>
    </row>
    <row r="770" spans="1:8" ht="12.75">
      <c r="A770" s="36" t="str">
        <f ca="1">IFERROR(__xludf.DUMMYFUNCTION("""COMPUTED_VALUE"""),"")</f>
        <v/>
      </c>
      <c r="B770" s="37"/>
      <c r="C770" s="54" t="str">
        <f ca="1">IFERROR(__xludf.DUMMYFUNCTION("""COMPUTED_VALUE"""),"")</f>
        <v/>
      </c>
      <c r="D770" s="54" t="str">
        <f ca="1">IFERROR(__xludf.DUMMYFUNCTION("""COMPUTED_VALUE"""),"")</f>
        <v/>
      </c>
      <c r="E770" s="55" t="str">
        <f ca="1">IFERROR(__xludf.DUMMYFUNCTION("""COMPUTED_VALUE"""),"")</f>
        <v/>
      </c>
      <c r="F770" s="54" t="str">
        <f ca="1">IFERROR(__xludf.DUMMYFUNCTION("""COMPUTED_VALUE"""),"")</f>
        <v/>
      </c>
      <c r="G770" s="38" t="str">
        <f ca="1">IFERROR(__xludf.DUMMYFUNCTION("""COMPUTED_VALUE"""),"")</f>
        <v/>
      </c>
      <c r="H770" s="38" t="str">
        <f ca="1">IFERROR(__xludf.DUMMYFUNCTION("""COMPUTED_VALUE"""),"")</f>
        <v/>
      </c>
    </row>
    <row r="771" spans="1:8" ht="12.75">
      <c r="A771" s="36" t="str">
        <f ca="1">IFERROR(__xludf.DUMMYFUNCTION("""COMPUTED_VALUE"""),"")</f>
        <v/>
      </c>
      <c r="B771" s="37"/>
      <c r="C771" s="54" t="str">
        <f ca="1">IFERROR(__xludf.DUMMYFUNCTION("""COMPUTED_VALUE"""),"")</f>
        <v/>
      </c>
      <c r="D771" s="54" t="str">
        <f ca="1">IFERROR(__xludf.DUMMYFUNCTION("""COMPUTED_VALUE"""),"")</f>
        <v/>
      </c>
      <c r="E771" s="55" t="str">
        <f ca="1">IFERROR(__xludf.DUMMYFUNCTION("""COMPUTED_VALUE"""),"")</f>
        <v/>
      </c>
      <c r="F771" s="54" t="str">
        <f ca="1">IFERROR(__xludf.DUMMYFUNCTION("""COMPUTED_VALUE"""),"")</f>
        <v/>
      </c>
      <c r="G771" s="38" t="str">
        <f ca="1">IFERROR(__xludf.DUMMYFUNCTION("""COMPUTED_VALUE"""),"")</f>
        <v/>
      </c>
      <c r="H771" s="38" t="str">
        <f ca="1">IFERROR(__xludf.DUMMYFUNCTION("""COMPUTED_VALUE"""),"")</f>
        <v/>
      </c>
    </row>
    <row r="772" spans="1:8" ht="12.75">
      <c r="A772" s="36" t="str">
        <f ca="1">IFERROR(__xludf.DUMMYFUNCTION("""COMPUTED_VALUE"""),"")</f>
        <v/>
      </c>
      <c r="B772" s="37"/>
      <c r="C772" s="54" t="str">
        <f ca="1">IFERROR(__xludf.DUMMYFUNCTION("""COMPUTED_VALUE"""),"")</f>
        <v/>
      </c>
      <c r="D772" s="54" t="str">
        <f ca="1">IFERROR(__xludf.DUMMYFUNCTION("""COMPUTED_VALUE"""),"")</f>
        <v/>
      </c>
      <c r="E772" s="55" t="str">
        <f ca="1">IFERROR(__xludf.DUMMYFUNCTION("""COMPUTED_VALUE"""),"")</f>
        <v/>
      </c>
      <c r="F772" s="54" t="str">
        <f ca="1">IFERROR(__xludf.DUMMYFUNCTION("""COMPUTED_VALUE"""),"")</f>
        <v/>
      </c>
      <c r="G772" s="38" t="str">
        <f ca="1">IFERROR(__xludf.DUMMYFUNCTION("""COMPUTED_VALUE"""),"")</f>
        <v/>
      </c>
      <c r="H772" s="38" t="str">
        <f ca="1">IFERROR(__xludf.DUMMYFUNCTION("""COMPUTED_VALUE"""),"")</f>
        <v/>
      </c>
    </row>
    <row r="773" spans="1:8" ht="12.75">
      <c r="A773" s="36" t="str">
        <f ca="1">IFERROR(__xludf.DUMMYFUNCTION("""COMPUTED_VALUE"""),"")</f>
        <v/>
      </c>
      <c r="B773" s="37"/>
      <c r="C773" s="54" t="str">
        <f ca="1">IFERROR(__xludf.DUMMYFUNCTION("""COMPUTED_VALUE"""),"")</f>
        <v/>
      </c>
      <c r="D773" s="54" t="str">
        <f ca="1">IFERROR(__xludf.DUMMYFUNCTION("""COMPUTED_VALUE"""),"")</f>
        <v/>
      </c>
      <c r="E773" s="55" t="str">
        <f ca="1">IFERROR(__xludf.DUMMYFUNCTION("""COMPUTED_VALUE"""),"")</f>
        <v/>
      </c>
      <c r="F773" s="54" t="str">
        <f ca="1">IFERROR(__xludf.DUMMYFUNCTION("""COMPUTED_VALUE"""),"")</f>
        <v/>
      </c>
      <c r="G773" s="38" t="str">
        <f ca="1">IFERROR(__xludf.DUMMYFUNCTION("""COMPUTED_VALUE"""),"")</f>
        <v/>
      </c>
      <c r="H773" s="38" t="str">
        <f ca="1">IFERROR(__xludf.DUMMYFUNCTION("""COMPUTED_VALUE"""),"")</f>
        <v/>
      </c>
    </row>
    <row r="774" spans="1:8" ht="12.75">
      <c r="A774" s="36" t="str">
        <f ca="1">IFERROR(__xludf.DUMMYFUNCTION("""COMPUTED_VALUE"""),"")</f>
        <v/>
      </c>
      <c r="B774" s="37"/>
      <c r="C774" s="54" t="str">
        <f ca="1">IFERROR(__xludf.DUMMYFUNCTION("""COMPUTED_VALUE"""),"")</f>
        <v/>
      </c>
      <c r="D774" s="54" t="str">
        <f ca="1">IFERROR(__xludf.DUMMYFUNCTION("""COMPUTED_VALUE"""),"")</f>
        <v/>
      </c>
      <c r="E774" s="55" t="str">
        <f ca="1">IFERROR(__xludf.DUMMYFUNCTION("""COMPUTED_VALUE"""),"")</f>
        <v/>
      </c>
      <c r="F774" s="54" t="str">
        <f ca="1">IFERROR(__xludf.DUMMYFUNCTION("""COMPUTED_VALUE"""),"")</f>
        <v/>
      </c>
      <c r="G774" s="38" t="str">
        <f ca="1">IFERROR(__xludf.DUMMYFUNCTION("""COMPUTED_VALUE"""),"")</f>
        <v/>
      </c>
      <c r="H774" s="38" t="str">
        <f ca="1">IFERROR(__xludf.DUMMYFUNCTION("""COMPUTED_VALUE"""),"")</f>
        <v/>
      </c>
    </row>
    <row r="775" spans="1:8" ht="12.75">
      <c r="A775" s="36" t="str">
        <f ca="1">IFERROR(__xludf.DUMMYFUNCTION("""COMPUTED_VALUE"""),"")</f>
        <v/>
      </c>
      <c r="B775" s="37"/>
      <c r="C775" s="54" t="str">
        <f ca="1">IFERROR(__xludf.DUMMYFUNCTION("""COMPUTED_VALUE"""),"")</f>
        <v/>
      </c>
      <c r="D775" s="54" t="str">
        <f ca="1">IFERROR(__xludf.DUMMYFUNCTION("""COMPUTED_VALUE"""),"")</f>
        <v/>
      </c>
      <c r="E775" s="55" t="str">
        <f ca="1">IFERROR(__xludf.DUMMYFUNCTION("""COMPUTED_VALUE"""),"")</f>
        <v/>
      </c>
      <c r="F775" s="54" t="str">
        <f ca="1">IFERROR(__xludf.DUMMYFUNCTION("""COMPUTED_VALUE"""),"")</f>
        <v/>
      </c>
      <c r="G775" s="38" t="str">
        <f ca="1">IFERROR(__xludf.DUMMYFUNCTION("""COMPUTED_VALUE"""),"")</f>
        <v/>
      </c>
      <c r="H775" s="38" t="str">
        <f ca="1">IFERROR(__xludf.DUMMYFUNCTION("""COMPUTED_VALUE"""),"")</f>
        <v/>
      </c>
    </row>
    <row r="776" spans="1:8" ht="12.75">
      <c r="A776" s="36" t="str">
        <f ca="1">IFERROR(__xludf.DUMMYFUNCTION("""COMPUTED_VALUE"""),"")</f>
        <v/>
      </c>
      <c r="B776" s="37"/>
      <c r="C776" s="54" t="str">
        <f ca="1">IFERROR(__xludf.DUMMYFUNCTION("""COMPUTED_VALUE"""),"")</f>
        <v/>
      </c>
      <c r="D776" s="54" t="str">
        <f ca="1">IFERROR(__xludf.DUMMYFUNCTION("""COMPUTED_VALUE"""),"")</f>
        <v/>
      </c>
      <c r="E776" s="55" t="str">
        <f ca="1">IFERROR(__xludf.DUMMYFUNCTION("""COMPUTED_VALUE"""),"")</f>
        <v/>
      </c>
      <c r="F776" s="54" t="str">
        <f ca="1">IFERROR(__xludf.DUMMYFUNCTION("""COMPUTED_VALUE"""),"")</f>
        <v/>
      </c>
      <c r="G776" s="38" t="str">
        <f ca="1">IFERROR(__xludf.DUMMYFUNCTION("""COMPUTED_VALUE"""),"")</f>
        <v/>
      </c>
      <c r="H776" s="38" t="str">
        <f ca="1">IFERROR(__xludf.DUMMYFUNCTION("""COMPUTED_VALUE"""),"")</f>
        <v/>
      </c>
    </row>
    <row r="777" spans="1:8" ht="12.75">
      <c r="A777" s="36" t="str">
        <f ca="1">IFERROR(__xludf.DUMMYFUNCTION("""COMPUTED_VALUE"""),"")</f>
        <v/>
      </c>
      <c r="B777" s="37"/>
      <c r="C777" s="54" t="str">
        <f ca="1">IFERROR(__xludf.DUMMYFUNCTION("""COMPUTED_VALUE"""),"")</f>
        <v/>
      </c>
      <c r="D777" s="54" t="str">
        <f ca="1">IFERROR(__xludf.DUMMYFUNCTION("""COMPUTED_VALUE"""),"")</f>
        <v/>
      </c>
      <c r="E777" s="55" t="str">
        <f ca="1">IFERROR(__xludf.DUMMYFUNCTION("""COMPUTED_VALUE"""),"")</f>
        <v/>
      </c>
      <c r="F777" s="54" t="str">
        <f ca="1">IFERROR(__xludf.DUMMYFUNCTION("""COMPUTED_VALUE"""),"")</f>
        <v/>
      </c>
      <c r="G777" s="38" t="str">
        <f ca="1">IFERROR(__xludf.DUMMYFUNCTION("""COMPUTED_VALUE"""),"")</f>
        <v/>
      </c>
      <c r="H777" s="38" t="str">
        <f ca="1">IFERROR(__xludf.DUMMYFUNCTION("""COMPUTED_VALUE"""),"")</f>
        <v/>
      </c>
    </row>
    <row r="778" spans="1:8" ht="12.75">
      <c r="A778" s="36" t="str">
        <f ca="1">IFERROR(__xludf.DUMMYFUNCTION("""COMPUTED_VALUE"""),"")</f>
        <v/>
      </c>
      <c r="B778" s="37"/>
      <c r="C778" s="54" t="str">
        <f ca="1">IFERROR(__xludf.DUMMYFUNCTION("""COMPUTED_VALUE"""),"")</f>
        <v/>
      </c>
      <c r="D778" s="54" t="str">
        <f ca="1">IFERROR(__xludf.DUMMYFUNCTION("""COMPUTED_VALUE"""),"")</f>
        <v/>
      </c>
      <c r="E778" s="55" t="str">
        <f ca="1">IFERROR(__xludf.DUMMYFUNCTION("""COMPUTED_VALUE"""),"")</f>
        <v/>
      </c>
      <c r="F778" s="54" t="str">
        <f ca="1">IFERROR(__xludf.DUMMYFUNCTION("""COMPUTED_VALUE"""),"")</f>
        <v/>
      </c>
      <c r="G778" s="38" t="str">
        <f ca="1">IFERROR(__xludf.DUMMYFUNCTION("""COMPUTED_VALUE"""),"")</f>
        <v/>
      </c>
      <c r="H778" s="38" t="str">
        <f ca="1">IFERROR(__xludf.DUMMYFUNCTION("""COMPUTED_VALUE"""),"")</f>
        <v/>
      </c>
    </row>
    <row r="779" spans="1:8" ht="12.75">
      <c r="A779" s="36" t="str">
        <f ca="1">IFERROR(__xludf.DUMMYFUNCTION("""COMPUTED_VALUE"""),"")</f>
        <v/>
      </c>
      <c r="B779" s="37"/>
      <c r="C779" s="54" t="str">
        <f ca="1">IFERROR(__xludf.DUMMYFUNCTION("""COMPUTED_VALUE"""),"")</f>
        <v/>
      </c>
      <c r="D779" s="54" t="str">
        <f ca="1">IFERROR(__xludf.DUMMYFUNCTION("""COMPUTED_VALUE"""),"")</f>
        <v/>
      </c>
      <c r="E779" s="55" t="str">
        <f ca="1">IFERROR(__xludf.DUMMYFUNCTION("""COMPUTED_VALUE"""),"")</f>
        <v/>
      </c>
      <c r="F779" s="54" t="str">
        <f ca="1">IFERROR(__xludf.DUMMYFUNCTION("""COMPUTED_VALUE"""),"")</f>
        <v/>
      </c>
      <c r="G779" s="38" t="str">
        <f ca="1">IFERROR(__xludf.DUMMYFUNCTION("""COMPUTED_VALUE"""),"")</f>
        <v/>
      </c>
      <c r="H779" s="38" t="str">
        <f ca="1">IFERROR(__xludf.DUMMYFUNCTION("""COMPUTED_VALUE"""),"")</f>
        <v/>
      </c>
    </row>
    <row r="780" spans="1:8" ht="12.75">
      <c r="A780" s="36" t="str">
        <f ca="1">IFERROR(__xludf.DUMMYFUNCTION("""COMPUTED_VALUE"""),"")</f>
        <v/>
      </c>
      <c r="B780" s="37"/>
      <c r="C780" s="54" t="str">
        <f ca="1">IFERROR(__xludf.DUMMYFUNCTION("""COMPUTED_VALUE"""),"")</f>
        <v/>
      </c>
      <c r="D780" s="54" t="str">
        <f ca="1">IFERROR(__xludf.DUMMYFUNCTION("""COMPUTED_VALUE"""),"")</f>
        <v/>
      </c>
      <c r="E780" s="55" t="str">
        <f ca="1">IFERROR(__xludf.DUMMYFUNCTION("""COMPUTED_VALUE"""),"")</f>
        <v/>
      </c>
      <c r="F780" s="54" t="str">
        <f ca="1">IFERROR(__xludf.DUMMYFUNCTION("""COMPUTED_VALUE"""),"")</f>
        <v/>
      </c>
      <c r="G780" s="38" t="str">
        <f ca="1">IFERROR(__xludf.DUMMYFUNCTION("""COMPUTED_VALUE"""),"")</f>
        <v/>
      </c>
      <c r="H780" s="38" t="str">
        <f ca="1">IFERROR(__xludf.DUMMYFUNCTION("""COMPUTED_VALUE"""),"")</f>
        <v/>
      </c>
    </row>
    <row r="781" spans="1:8" ht="12.75">
      <c r="A781" s="36" t="str">
        <f ca="1">IFERROR(__xludf.DUMMYFUNCTION("""COMPUTED_VALUE"""),"")</f>
        <v/>
      </c>
      <c r="B781" s="37"/>
      <c r="C781" s="54" t="str">
        <f ca="1">IFERROR(__xludf.DUMMYFUNCTION("""COMPUTED_VALUE"""),"")</f>
        <v/>
      </c>
      <c r="D781" s="54" t="str">
        <f ca="1">IFERROR(__xludf.DUMMYFUNCTION("""COMPUTED_VALUE"""),"")</f>
        <v/>
      </c>
      <c r="E781" s="55" t="str">
        <f ca="1">IFERROR(__xludf.DUMMYFUNCTION("""COMPUTED_VALUE"""),"")</f>
        <v/>
      </c>
      <c r="F781" s="54" t="str">
        <f ca="1">IFERROR(__xludf.DUMMYFUNCTION("""COMPUTED_VALUE"""),"")</f>
        <v/>
      </c>
      <c r="G781" s="38" t="str">
        <f ca="1">IFERROR(__xludf.DUMMYFUNCTION("""COMPUTED_VALUE"""),"")</f>
        <v/>
      </c>
      <c r="H781" s="38" t="str">
        <f ca="1">IFERROR(__xludf.DUMMYFUNCTION("""COMPUTED_VALUE"""),"")</f>
        <v/>
      </c>
    </row>
    <row r="782" spans="1:8" ht="12.75">
      <c r="A782" s="36" t="str">
        <f ca="1">IFERROR(__xludf.DUMMYFUNCTION("""COMPUTED_VALUE"""),"")</f>
        <v/>
      </c>
      <c r="B782" s="37"/>
      <c r="C782" s="54" t="str">
        <f ca="1">IFERROR(__xludf.DUMMYFUNCTION("""COMPUTED_VALUE"""),"")</f>
        <v/>
      </c>
      <c r="D782" s="54" t="str">
        <f ca="1">IFERROR(__xludf.DUMMYFUNCTION("""COMPUTED_VALUE"""),"")</f>
        <v/>
      </c>
      <c r="E782" s="55" t="str">
        <f ca="1">IFERROR(__xludf.DUMMYFUNCTION("""COMPUTED_VALUE"""),"")</f>
        <v/>
      </c>
      <c r="F782" s="54" t="str">
        <f ca="1">IFERROR(__xludf.DUMMYFUNCTION("""COMPUTED_VALUE"""),"")</f>
        <v/>
      </c>
      <c r="G782" s="38" t="str">
        <f ca="1">IFERROR(__xludf.DUMMYFUNCTION("""COMPUTED_VALUE"""),"")</f>
        <v/>
      </c>
      <c r="H782" s="38" t="str">
        <f ca="1">IFERROR(__xludf.DUMMYFUNCTION("""COMPUTED_VALUE"""),"")</f>
        <v/>
      </c>
    </row>
    <row r="783" spans="1:8" ht="12.75">
      <c r="A783" s="36" t="str">
        <f ca="1">IFERROR(__xludf.DUMMYFUNCTION("""COMPUTED_VALUE"""),"")</f>
        <v/>
      </c>
      <c r="B783" s="37"/>
      <c r="C783" s="54" t="str">
        <f ca="1">IFERROR(__xludf.DUMMYFUNCTION("""COMPUTED_VALUE"""),"")</f>
        <v/>
      </c>
      <c r="D783" s="54" t="str">
        <f ca="1">IFERROR(__xludf.DUMMYFUNCTION("""COMPUTED_VALUE"""),"")</f>
        <v/>
      </c>
      <c r="E783" s="55" t="str">
        <f ca="1">IFERROR(__xludf.DUMMYFUNCTION("""COMPUTED_VALUE"""),"")</f>
        <v/>
      </c>
      <c r="F783" s="54" t="str">
        <f ca="1">IFERROR(__xludf.DUMMYFUNCTION("""COMPUTED_VALUE"""),"")</f>
        <v/>
      </c>
      <c r="G783" s="38" t="str">
        <f ca="1">IFERROR(__xludf.DUMMYFUNCTION("""COMPUTED_VALUE"""),"")</f>
        <v/>
      </c>
      <c r="H783" s="38" t="str">
        <f ca="1">IFERROR(__xludf.DUMMYFUNCTION("""COMPUTED_VALUE"""),"")</f>
        <v/>
      </c>
    </row>
    <row r="784" spans="1:8" ht="12.75">
      <c r="A784" s="36" t="str">
        <f ca="1">IFERROR(__xludf.DUMMYFUNCTION("""COMPUTED_VALUE"""),"")</f>
        <v/>
      </c>
      <c r="B784" s="37"/>
      <c r="C784" s="54" t="str">
        <f ca="1">IFERROR(__xludf.DUMMYFUNCTION("""COMPUTED_VALUE"""),"")</f>
        <v/>
      </c>
      <c r="D784" s="54" t="str">
        <f ca="1">IFERROR(__xludf.DUMMYFUNCTION("""COMPUTED_VALUE"""),"")</f>
        <v/>
      </c>
      <c r="E784" s="55" t="str">
        <f ca="1">IFERROR(__xludf.DUMMYFUNCTION("""COMPUTED_VALUE"""),"")</f>
        <v/>
      </c>
      <c r="F784" s="54" t="str">
        <f ca="1">IFERROR(__xludf.DUMMYFUNCTION("""COMPUTED_VALUE"""),"")</f>
        <v/>
      </c>
      <c r="G784" s="38" t="str">
        <f ca="1">IFERROR(__xludf.DUMMYFUNCTION("""COMPUTED_VALUE"""),"")</f>
        <v/>
      </c>
      <c r="H784" s="38" t="str">
        <f ca="1">IFERROR(__xludf.DUMMYFUNCTION("""COMPUTED_VALUE"""),"")</f>
        <v/>
      </c>
    </row>
    <row r="785" spans="1:8" ht="12.75">
      <c r="A785" s="36" t="str">
        <f ca="1">IFERROR(__xludf.DUMMYFUNCTION("""COMPUTED_VALUE"""),"")</f>
        <v/>
      </c>
      <c r="B785" s="37"/>
      <c r="C785" s="54" t="str">
        <f ca="1">IFERROR(__xludf.DUMMYFUNCTION("""COMPUTED_VALUE"""),"")</f>
        <v/>
      </c>
      <c r="D785" s="54" t="str">
        <f ca="1">IFERROR(__xludf.DUMMYFUNCTION("""COMPUTED_VALUE"""),"")</f>
        <v/>
      </c>
      <c r="E785" s="55" t="str">
        <f ca="1">IFERROR(__xludf.DUMMYFUNCTION("""COMPUTED_VALUE"""),"")</f>
        <v/>
      </c>
      <c r="F785" s="54" t="str">
        <f ca="1">IFERROR(__xludf.DUMMYFUNCTION("""COMPUTED_VALUE"""),"")</f>
        <v/>
      </c>
      <c r="G785" s="38" t="str">
        <f ca="1">IFERROR(__xludf.DUMMYFUNCTION("""COMPUTED_VALUE"""),"")</f>
        <v/>
      </c>
      <c r="H785" s="38" t="str">
        <f ca="1">IFERROR(__xludf.DUMMYFUNCTION("""COMPUTED_VALUE"""),"")</f>
        <v/>
      </c>
    </row>
    <row r="786" spans="1:8" ht="12.75">
      <c r="A786" s="36" t="str">
        <f ca="1">IFERROR(__xludf.DUMMYFUNCTION("""COMPUTED_VALUE"""),"")</f>
        <v/>
      </c>
      <c r="B786" s="37"/>
      <c r="C786" s="54" t="str">
        <f ca="1">IFERROR(__xludf.DUMMYFUNCTION("""COMPUTED_VALUE"""),"")</f>
        <v/>
      </c>
      <c r="D786" s="54" t="str">
        <f ca="1">IFERROR(__xludf.DUMMYFUNCTION("""COMPUTED_VALUE"""),"")</f>
        <v/>
      </c>
      <c r="E786" s="55" t="str">
        <f ca="1">IFERROR(__xludf.DUMMYFUNCTION("""COMPUTED_VALUE"""),"")</f>
        <v/>
      </c>
      <c r="F786" s="54" t="str">
        <f ca="1">IFERROR(__xludf.DUMMYFUNCTION("""COMPUTED_VALUE"""),"")</f>
        <v/>
      </c>
      <c r="G786" s="38" t="str">
        <f ca="1">IFERROR(__xludf.DUMMYFUNCTION("""COMPUTED_VALUE"""),"")</f>
        <v/>
      </c>
      <c r="H786" s="38" t="str">
        <f ca="1">IFERROR(__xludf.DUMMYFUNCTION("""COMPUTED_VALUE"""),"")</f>
        <v/>
      </c>
    </row>
    <row r="787" spans="1:8" ht="12.75">
      <c r="A787" s="36" t="str">
        <f ca="1">IFERROR(__xludf.DUMMYFUNCTION("""COMPUTED_VALUE"""),"")</f>
        <v/>
      </c>
      <c r="B787" s="37"/>
      <c r="C787" s="54" t="str">
        <f ca="1">IFERROR(__xludf.DUMMYFUNCTION("""COMPUTED_VALUE"""),"")</f>
        <v/>
      </c>
      <c r="D787" s="54" t="str">
        <f ca="1">IFERROR(__xludf.DUMMYFUNCTION("""COMPUTED_VALUE"""),"")</f>
        <v/>
      </c>
      <c r="E787" s="55" t="str">
        <f ca="1">IFERROR(__xludf.DUMMYFUNCTION("""COMPUTED_VALUE"""),"")</f>
        <v/>
      </c>
      <c r="F787" s="54" t="str">
        <f ca="1">IFERROR(__xludf.DUMMYFUNCTION("""COMPUTED_VALUE"""),"")</f>
        <v/>
      </c>
      <c r="G787" s="38" t="str">
        <f ca="1">IFERROR(__xludf.DUMMYFUNCTION("""COMPUTED_VALUE"""),"")</f>
        <v/>
      </c>
      <c r="H787" s="38" t="str">
        <f ca="1">IFERROR(__xludf.DUMMYFUNCTION("""COMPUTED_VALUE"""),"")</f>
        <v/>
      </c>
    </row>
    <row r="788" spans="1:8" ht="12.75">
      <c r="A788" s="36" t="str">
        <f ca="1">IFERROR(__xludf.DUMMYFUNCTION("""COMPUTED_VALUE"""),"")</f>
        <v/>
      </c>
      <c r="B788" s="37"/>
      <c r="C788" s="54" t="str">
        <f ca="1">IFERROR(__xludf.DUMMYFUNCTION("""COMPUTED_VALUE"""),"")</f>
        <v/>
      </c>
      <c r="D788" s="54" t="str">
        <f ca="1">IFERROR(__xludf.DUMMYFUNCTION("""COMPUTED_VALUE"""),"")</f>
        <v/>
      </c>
      <c r="E788" s="55" t="str">
        <f ca="1">IFERROR(__xludf.DUMMYFUNCTION("""COMPUTED_VALUE"""),"")</f>
        <v/>
      </c>
      <c r="F788" s="54" t="str">
        <f ca="1">IFERROR(__xludf.DUMMYFUNCTION("""COMPUTED_VALUE"""),"")</f>
        <v/>
      </c>
      <c r="G788" s="38" t="str">
        <f ca="1">IFERROR(__xludf.DUMMYFUNCTION("""COMPUTED_VALUE"""),"")</f>
        <v/>
      </c>
      <c r="H788" s="38" t="str">
        <f ca="1">IFERROR(__xludf.DUMMYFUNCTION("""COMPUTED_VALUE"""),"")</f>
        <v/>
      </c>
    </row>
    <row r="789" spans="1:8" ht="12.75">
      <c r="A789" s="36" t="str">
        <f ca="1">IFERROR(__xludf.DUMMYFUNCTION("""COMPUTED_VALUE"""),"")</f>
        <v/>
      </c>
      <c r="B789" s="37"/>
      <c r="C789" s="54" t="str">
        <f ca="1">IFERROR(__xludf.DUMMYFUNCTION("""COMPUTED_VALUE"""),"")</f>
        <v/>
      </c>
      <c r="D789" s="54" t="str">
        <f ca="1">IFERROR(__xludf.DUMMYFUNCTION("""COMPUTED_VALUE"""),"")</f>
        <v/>
      </c>
      <c r="E789" s="55" t="str">
        <f ca="1">IFERROR(__xludf.DUMMYFUNCTION("""COMPUTED_VALUE"""),"")</f>
        <v/>
      </c>
      <c r="F789" s="54" t="str">
        <f ca="1">IFERROR(__xludf.DUMMYFUNCTION("""COMPUTED_VALUE"""),"")</f>
        <v/>
      </c>
      <c r="G789" s="38" t="str">
        <f ca="1">IFERROR(__xludf.DUMMYFUNCTION("""COMPUTED_VALUE"""),"")</f>
        <v/>
      </c>
      <c r="H789" s="38" t="str">
        <f ca="1">IFERROR(__xludf.DUMMYFUNCTION("""COMPUTED_VALUE"""),"")</f>
        <v/>
      </c>
    </row>
    <row r="790" spans="1:8" ht="12.75">
      <c r="A790" s="36" t="str">
        <f ca="1">IFERROR(__xludf.DUMMYFUNCTION("""COMPUTED_VALUE"""),"")</f>
        <v/>
      </c>
      <c r="B790" s="37"/>
      <c r="C790" s="54" t="str">
        <f ca="1">IFERROR(__xludf.DUMMYFUNCTION("""COMPUTED_VALUE"""),"")</f>
        <v/>
      </c>
      <c r="D790" s="54" t="str">
        <f ca="1">IFERROR(__xludf.DUMMYFUNCTION("""COMPUTED_VALUE"""),"")</f>
        <v/>
      </c>
      <c r="E790" s="55" t="str">
        <f ca="1">IFERROR(__xludf.DUMMYFUNCTION("""COMPUTED_VALUE"""),"")</f>
        <v/>
      </c>
      <c r="F790" s="54" t="str">
        <f ca="1">IFERROR(__xludf.DUMMYFUNCTION("""COMPUTED_VALUE"""),"")</f>
        <v/>
      </c>
      <c r="G790" s="38" t="str">
        <f ca="1">IFERROR(__xludf.DUMMYFUNCTION("""COMPUTED_VALUE"""),"")</f>
        <v/>
      </c>
      <c r="H790" s="38" t="str">
        <f ca="1">IFERROR(__xludf.DUMMYFUNCTION("""COMPUTED_VALUE"""),"")</f>
        <v/>
      </c>
    </row>
    <row r="791" spans="1:8" ht="12.75">
      <c r="A791" s="36" t="str">
        <f ca="1">IFERROR(__xludf.DUMMYFUNCTION("""COMPUTED_VALUE"""),"")</f>
        <v/>
      </c>
      <c r="B791" s="37"/>
      <c r="C791" s="54" t="str">
        <f ca="1">IFERROR(__xludf.DUMMYFUNCTION("""COMPUTED_VALUE"""),"")</f>
        <v/>
      </c>
      <c r="D791" s="54" t="str">
        <f ca="1">IFERROR(__xludf.DUMMYFUNCTION("""COMPUTED_VALUE"""),"")</f>
        <v/>
      </c>
      <c r="E791" s="55" t="str">
        <f ca="1">IFERROR(__xludf.DUMMYFUNCTION("""COMPUTED_VALUE"""),"")</f>
        <v/>
      </c>
      <c r="F791" s="54" t="str">
        <f ca="1">IFERROR(__xludf.DUMMYFUNCTION("""COMPUTED_VALUE"""),"")</f>
        <v/>
      </c>
      <c r="G791" s="38" t="str">
        <f ca="1">IFERROR(__xludf.DUMMYFUNCTION("""COMPUTED_VALUE"""),"")</f>
        <v/>
      </c>
      <c r="H791" s="38" t="str">
        <f ca="1">IFERROR(__xludf.DUMMYFUNCTION("""COMPUTED_VALUE"""),"")</f>
        <v/>
      </c>
    </row>
    <row r="792" spans="1:8" ht="12.75">
      <c r="A792" s="36" t="str">
        <f ca="1">IFERROR(__xludf.DUMMYFUNCTION("""COMPUTED_VALUE"""),"")</f>
        <v/>
      </c>
      <c r="B792" s="37"/>
      <c r="C792" s="54" t="str">
        <f ca="1">IFERROR(__xludf.DUMMYFUNCTION("""COMPUTED_VALUE"""),"")</f>
        <v/>
      </c>
      <c r="D792" s="54" t="str">
        <f ca="1">IFERROR(__xludf.DUMMYFUNCTION("""COMPUTED_VALUE"""),"")</f>
        <v/>
      </c>
      <c r="E792" s="55" t="str">
        <f ca="1">IFERROR(__xludf.DUMMYFUNCTION("""COMPUTED_VALUE"""),"")</f>
        <v/>
      </c>
      <c r="F792" s="54" t="str">
        <f ca="1">IFERROR(__xludf.DUMMYFUNCTION("""COMPUTED_VALUE"""),"")</f>
        <v/>
      </c>
      <c r="G792" s="38" t="str">
        <f ca="1">IFERROR(__xludf.DUMMYFUNCTION("""COMPUTED_VALUE"""),"")</f>
        <v/>
      </c>
      <c r="H792" s="38" t="str">
        <f ca="1">IFERROR(__xludf.DUMMYFUNCTION("""COMPUTED_VALUE"""),"")</f>
        <v/>
      </c>
    </row>
    <row r="793" spans="1:8" ht="12.75">
      <c r="A793" s="36" t="str">
        <f ca="1">IFERROR(__xludf.DUMMYFUNCTION("""COMPUTED_VALUE"""),"")</f>
        <v/>
      </c>
      <c r="B793" s="37"/>
      <c r="C793" s="54" t="str">
        <f ca="1">IFERROR(__xludf.DUMMYFUNCTION("""COMPUTED_VALUE"""),"")</f>
        <v/>
      </c>
      <c r="D793" s="54" t="str">
        <f ca="1">IFERROR(__xludf.DUMMYFUNCTION("""COMPUTED_VALUE"""),"")</f>
        <v/>
      </c>
      <c r="E793" s="55" t="str">
        <f ca="1">IFERROR(__xludf.DUMMYFUNCTION("""COMPUTED_VALUE"""),"")</f>
        <v/>
      </c>
      <c r="F793" s="54" t="str">
        <f ca="1">IFERROR(__xludf.DUMMYFUNCTION("""COMPUTED_VALUE"""),"")</f>
        <v/>
      </c>
      <c r="G793" s="38" t="str">
        <f ca="1">IFERROR(__xludf.DUMMYFUNCTION("""COMPUTED_VALUE"""),"")</f>
        <v/>
      </c>
      <c r="H793" s="38" t="str">
        <f ca="1">IFERROR(__xludf.DUMMYFUNCTION("""COMPUTED_VALUE"""),"")</f>
        <v/>
      </c>
    </row>
    <row r="794" spans="1:8" ht="12.75">
      <c r="A794" s="36" t="str">
        <f ca="1">IFERROR(__xludf.DUMMYFUNCTION("""COMPUTED_VALUE"""),"")</f>
        <v/>
      </c>
      <c r="B794" s="37"/>
      <c r="C794" s="54" t="str">
        <f ca="1">IFERROR(__xludf.DUMMYFUNCTION("""COMPUTED_VALUE"""),"")</f>
        <v/>
      </c>
      <c r="D794" s="54" t="str">
        <f ca="1">IFERROR(__xludf.DUMMYFUNCTION("""COMPUTED_VALUE"""),"")</f>
        <v/>
      </c>
      <c r="E794" s="55" t="str">
        <f ca="1">IFERROR(__xludf.DUMMYFUNCTION("""COMPUTED_VALUE"""),"")</f>
        <v/>
      </c>
      <c r="F794" s="54" t="str">
        <f ca="1">IFERROR(__xludf.DUMMYFUNCTION("""COMPUTED_VALUE"""),"")</f>
        <v/>
      </c>
      <c r="G794" s="38" t="str">
        <f ca="1">IFERROR(__xludf.DUMMYFUNCTION("""COMPUTED_VALUE"""),"")</f>
        <v/>
      </c>
      <c r="H794" s="38" t="str">
        <f ca="1">IFERROR(__xludf.DUMMYFUNCTION("""COMPUTED_VALUE"""),"")</f>
        <v/>
      </c>
    </row>
    <row r="795" spans="1:8" ht="12.75">
      <c r="A795" s="36" t="str">
        <f ca="1">IFERROR(__xludf.DUMMYFUNCTION("""COMPUTED_VALUE"""),"")</f>
        <v/>
      </c>
      <c r="B795" s="37"/>
      <c r="C795" s="54" t="str">
        <f ca="1">IFERROR(__xludf.DUMMYFUNCTION("""COMPUTED_VALUE"""),"")</f>
        <v/>
      </c>
      <c r="D795" s="54" t="str">
        <f ca="1">IFERROR(__xludf.DUMMYFUNCTION("""COMPUTED_VALUE"""),"")</f>
        <v/>
      </c>
      <c r="E795" s="55" t="str">
        <f ca="1">IFERROR(__xludf.DUMMYFUNCTION("""COMPUTED_VALUE"""),"")</f>
        <v/>
      </c>
      <c r="F795" s="54" t="str">
        <f ca="1">IFERROR(__xludf.DUMMYFUNCTION("""COMPUTED_VALUE"""),"")</f>
        <v/>
      </c>
      <c r="G795" s="38" t="str">
        <f ca="1">IFERROR(__xludf.DUMMYFUNCTION("""COMPUTED_VALUE"""),"")</f>
        <v/>
      </c>
      <c r="H795" s="38" t="str">
        <f ca="1">IFERROR(__xludf.DUMMYFUNCTION("""COMPUTED_VALUE"""),"")</f>
        <v/>
      </c>
    </row>
    <row r="796" spans="1:8" ht="12.75">
      <c r="A796" s="36" t="str">
        <f ca="1">IFERROR(__xludf.DUMMYFUNCTION("""COMPUTED_VALUE"""),"")</f>
        <v/>
      </c>
      <c r="B796" s="37"/>
      <c r="C796" s="54" t="str">
        <f ca="1">IFERROR(__xludf.DUMMYFUNCTION("""COMPUTED_VALUE"""),"")</f>
        <v/>
      </c>
      <c r="D796" s="54" t="str">
        <f ca="1">IFERROR(__xludf.DUMMYFUNCTION("""COMPUTED_VALUE"""),"")</f>
        <v/>
      </c>
      <c r="E796" s="55" t="str">
        <f ca="1">IFERROR(__xludf.DUMMYFUNCTION("""COMPUTED_VALUE"""),"")</f>
        <v/>
      </c>
      <c r="F796" s="54" t="str">
        <f ca="1">IFERROR(__xludf.DUMMYFUNCTION("""COMPUTED_VALUE"""),"")</f>
        <v/>
      </c>
      <c r="G796" s="38" t="str">
        <f ca="1">IFERROR(__xludf.DUMMYFUNCTION("""COMPUTED_VALUE"""),"")</f>
        <v/>
      </c>
      <c r="H796" s="38" t="str">
        <f ca="1">IFERROR(__xludf.DUMMYFUNCTION("""COMPUTED_VALUE"""),"")</f>
        <v/>
      </c>
    </row>
    <row r="797" spans="1:8" ht="12.75">
      <c r="A797" s="36" t="str">
        <f ca="1">IFERROR(__xludf.DUMMYFUNCTION("""COMPUTED_VALUE"""),"")</f>
        <v/>
      </c>
      <c r="B797" s="37"/>
      <c r="C797" s="54" t="str">
        <f ca="1">IFERROR(__xludf.DUMMYFUNCTION("""COMPUTED_VALUE"""),"")</f>
        <v/>
      </c>
      <c r="D797" s="54" t="str">
        <f ca="1">IFERROR(__xludf.DUMMYFUNCTION("""COMPUTED_VALUE"""),"")</f>
        <v/>
      </c>
      <c r="E797" s="55" t="str">
        <f ca="1">IFERROR(__xludf.DUMMYFUNCTION("""COMPUTED_VALUE"""),"")</f>
        <v/>
      </c>
      <c r="F797" s="54" t="str">
        <f ca="1">IFERROR(__xludf.DUMMYFUNCTION("""COMPUTED_VALUE"""),"")</f>
        <v/>
      </c>
      <c r="G797" s="38" t="str">
        <f ca="1">IFERROR(__xludf.DUMMYFUNCTION("""COMPUTED_VALUE"""),"")</f>
        <v/>
      </c>
      <c r="H797" s="38" t="str">
        <f ca="1">IFERROR(__xludf.DUMMYFUNCTION("""COMPUTED_VALUE"""),"")</f>
        <v/>
      </c>
    </row>
    <row r="798" spans="1:8" ht="12.75">
      <c r="A798" s="36" t="str">
        <f ca="1">IFERROR(__xludf.DUMMYFUNCTION("""COMPUTED_VALUE"""),"")</f>
        <v/>
      </c>
      <c r="B798" s="37"/>
      <c r="C798" s="54" t="str">
        <f ca="1">IFERROR(__xludf.DUMMYFUNCTION("""COMPUTED_VALUE"""),"")</f>
        <v/>
      </c>
      <c r="D798" s="54" t="str">
        <f ca="1">IFERROR(__xludf.DUMMYFUNCTION("""COMPUTED_VALUE"""),"")</f>
        <v/>
      </c>
      <c r="E798" s="55" t="str">
        <f ca="1">IFERROR(__xludf.DUMMYFUNCTION("""COMPUTED_VALUE"""),"")</f>
        <v/>
      </c>
      <c r="F798" s="54" t="str">
        <f ca="1">IFERROR(__xludf.DUMMYFUNCTION("""COMPUTED_VALUE"""),"")</f>
        <v/>
      </c>
      <c r="G798" s="38" t="str">
        <f ca="1">IFERROR(__xludf.DUMMYFUNCTION("""COMPUTED_VALUE"""),"")</f>
        <v/>
      </c>
      <c r="H798" s="38" t="str">
        <f ca="1">IFERROR(__xludf.DUMMYFUNCTION("""COMPUTED_VALUE"""),"")</f>
        <v/>
      </c>
    </row>
    <row r="799" spans="1:8" ht="12.75">
      <c r="A799" s="36" t="str">
        <f ca="1">IFERROR(__xludf.DUMMYFUNCTION("""COMPUTED_VALUE"""),"")</f>
        <v/>
      </c>
      <c r="B799" s="37"/>
      <c r="C799" s="54" t="str">
        <f ca="1">IFERROR(__xludf.DUMMYFUNCTION("""COMPUTED_VALUE"""),"")</f>
        <v/>
      </c>
      <c r="D799" s="54" t="str">
        <f ca="1">IFERROR(__xludf.DUMMYFUNCTION("""COMPUTED_VALUE"""),"")</f>
        <v/>
      </c>
      <c r="E799" s="55" t="str">
        <f ca="1">IFERROR(__xludf.DUMMYFUNCTION("""COMPUTED_VALUE"""),"")</f>
        <v/>
      </c>
      <c r="F799" s="54" t="str">
        <f ca="1">IFERROR(__xludf.DUMMYFUNCTION("""COMPUTED_VALUE"""),"")</f>
        <v/>
      </c>
      <c r="G799" s="38" t="str">
        <f ca="1">IFERROR(__xludf.DUMMYFUNCTION("""COMPUTED_VALUE"""),"")</f>
        <v/>
      </c>
      <c r="H799" s="38" t="str">
        <f ca="1">IFERROR(__xludf.DUMMYFUNCTION("""COMPUTED_VALUE"""),"")</f>
        <v/>
      </c>
    </row>
    <row r="800" spans="1:8" ht="12.75">
      <c r="A800" s="36" t="str">
        <f ca="1">IFERROR(__xludf.DUMMYFUNCTION("""COMPUTED_VALUE"""),"")</f>
        <v/>
      </c>
      <c r="B800" s="37"/>
      <c r="C800" s="54" t="str">
        <f ca="1">IFERROR(__xludf.DUMMYFUNCTION("""COMPUTED_VALUE"""),"")</f>
        <v/>
      </c>
      <c r="D800" s="54" t="str">
        <f ca="1">IFERROR(__xludf.DUMMYFUNCTION("""COMPUTED_VALUE"""),"")</f>
        <v/>
      </c>
      <c r="E800" s="55" t="str">
        <f ca="1">IFERROR(__xludf.DUMMYFUNCTION("""COMPUTED_VALUE"""),"")</f>
        <v/>
      </c>
      <c r="F800" s="54" t="str">
        <f ca="1">IFERROR(__xludf.DUMMYFUNCTION("""COMPUTED_VALUE"""),"")</f>
        <v/>
      </c>
      <c r="G800" s="38" t="str">
        <f ca="1">IFERROR(__xludf.DUMMYFUNCTION("""COMPUTED_VALUE"""),"")</f>
        <v/>
      </c>
      <c r="H800" s="38" t="str">
        <f ca="1">IFERROR(__xludf.DUMMYFUNCTION("""COMPUTED_VALUE"""),"")</f>
        <v/>
      </c>
    </row>
    <row r="801" spans="1:8" ht="12.75">
      <c r="A801" s="36" t="str">
        <f ca="1">IFERROR(__xludf.DUMMYFUNCTION("""COMPUTED_VALUE"""),"")</f>
        <v/>
      </c>
      <c r="B801" s="37"/>
      <c r="C801" s="54" t="str">
        <f ca="1">IFERROR(__xludf.DUMMYFUNCTION("""COMPUTED_VALUE"""),"")</f>
        <v/>
      </c>
      <c r="D801" s="54" t="str">
        <f ca="1">IFERROR(__xludf.DUMMYFUNCTION("""COMPUTED_VALUE"""),"")</f>
        <v/>
      </c>
      <c r="E801" s="55" t="str">
        <f ca="1">IFERROR(__xludf.DUMMYFUNCTION("""COMPUTED_VALUE"""),"")</f>
        <v/>
      </c>
      <c r="F801" s="54" t="str">
        <f ca="1">IFERROR(__xludf.DUMMYFUNCTION("""COMPUTED_VALUE"""),"")</f>
        <v/>
      </c>
      <c r="G801" s="38" t="str">
        <f ca="1">IFERROR(__xludf.DUMMYFUNCTION("""COMPUTED_VALUE"""),"")</f>
        <v/>
      </c>
      <c r="H801" s="38" t="str">
        <f ca="1">IFERROR(__xludf.DUMMYFUNCTION("""COMPUTED_VALUE"""),"")</f>
        <v/>
      </c>
    </row>
    <row r="802" spans="1:8" ht="12.75">
      <c r="A802" s="36" t="str">
        <f ca="1">IFERROR(__xludf.DUMMYFUNCTION("""COMPUTED_VALUE"""),"")</f>
        <v/>
      </c>
      <c r="B802" s="37"/>
      <c r="C802" s="54" t="str">
        <f ca="1">IFERROR(__xludf.DUMMYFUNCTION("""COMPUTED_VALUE"""),"")</f>
        <v/>
      </c>
      <c r="D802" s="54" t="str">
        <f ca="1">IFERROR(__xludf.DUMMYFUNCTION("""COMPUTED_VALUE"""),"")</f>
        <v/>
      </c>
      <c r="E802" s="55" t="str">
        <f ca="1">IFERROR(__xludf.DUMMYFUNCTION("""COMPUTED_VALUE"""),"")</f>
        <v/>
      </c>
      <c r="F802" s="54" t="str">
        <f ca="1">IFERROR(__xludf.DUMMYFUNCTION("""COMPUTED_VALUE"""),"")</f>
        <v/>
      </c>
      <c r="G802" s="38" t="str">
        <f ca="1">IFERROR(__xludf.DUMMYFUNCTION("""COMPUTED_VALUE"""),"")</f>
        <v/>
      </c>
      <c r="H802" s="38" t="str">
        <f ca="1">IFERROR(__xludf.DUMMYFUNCTION("""COMPUTED_VALUE"""),"")</f>
        <v/>
      </c>
    </row>
    <row r="803" spans="1:8" ht="12.75">
      <c r="A803" s="36" t="str">
        <f ca="1">IFERROR(__xludf.DUMMYFUNCTION("""COMPUTED_VALUE"""),"")</f>
        <v/>
      </c>
      <c r="B803" s="37"/>
      <c r="C803" s="54" t="str">
        <f ca="1">IFERROR(__xludf.DUMMYFUNCTION("""COMPUTED_VALUE"""),"")</f>
        <v/>
      </c>
      <c r="D803" s="54" t="str">
        <f ca="1">IFERROR(__xludf.DUMMYFUNCTION("""COMPUTED_VALUE"""),"")</f>
        <v/>
      </c>
      <c r="E803" s="55" t="str">
        <f ca="1">IFERROR(__xludf.DUMMYFUNCTION("""COMPUTED_VALUE"""),"")</f>
        <v/>
      </c>
      <c r="F803" s="54" t="str">
        <f ca="1">IFERROR(__xludf.DUMMYFUNCTION("""COMPUTED_VALUE"""),"")</f>
        <v/>
      </c>
      <c r="G803" s="38" t="str">
        <f ca="1">IFERROR(__xludf.DUMMYFUNCTION("""COMPUTED_VALUE"""),"")</f>
        <v/>
      </c>
      <c r="H803" s="38" t="str">
        <f ca="1">IFERROR(__xludf.DUMMYFUNCTION("""COMPUTED_VALUE"""),"")</f>
        <v/>
      </c>
    </row>
    <row r="804" spans="1:8" ht="12.75">
      <c r="A804" s="36" t="str">
        <f ca="1">IFERROR(__xludf.DUMMYFUNCTION("""COMPUTED_VALUE"""),"")</f>
        <v/>
      </c>
      <c r="B804" s="37"/>
      <c r="C804" s="54" t="str">
        <f ca="1">IFERROR(__xludf.DUMMYFUNCTION("""COMPUTED_VALUE"""),"")</f>
        <v/>
      </c>
      <c r="D804" s="54" t="str">
        <f ca="1">IFERROR(__xludf.DUMMYFUNCTION("""COMPUTED_VALUE"""),"")</f>
        <v/>
      </c>
      <c r="E804" s="55" t="str">
        <f ca="1">IFERROR(__xludf.DUMMYFUNCTION("""COMPUTED_VALUE"""),"")</f>
        <v/>
      </c>
      <c r="F804" s="54" t="str">
        <f ca="1">IFERROR(__xludf.DUMMYFUNCTION("""COMPUTED_VALUE"""),"")</f>
        <v/>
      </c>
      <c r="G804" s="38" t="str">
        <f ca="1">IFERROR(__xludf.DUMMYFUNCTION("""COMPUTED_VALUE"""),"")</f>
        <v/>
      </c>
      <c r="H804" s="38" t="str">
        <f ca="1">IFERROR(__xludf.DUMMYFUNCTION("""COMPUTED_VALUE"""),"")</f>
        <v/>
      </c>
    </row>
    <row r="805" spans="1:8" ht="12.75">
      <c r="A805" s="36" t="str">
        <f ca="1">IFERROR(__xludf.DUMMYFUNCTION("""COMPUTED_VALUE"""),"")</f>
        <v/>
      </c>
      <c r="B805" s="37"/>
      <c r="C805" s="54" t="str">
        <f ca="1">IFERROR(__xludf.DUMMYFUNCTION("""COMPUTED_VALUE"""),"")</f>
        <v/>
      </c>
      <c r="D805" s="54" t="str">
        <f ca="1">IFERROR(__xludf.DUMMYFUNCTION("""COMPUTED_VALUE"""),"")</f>
        <v/>
      </c>
      <c r="E805" s="55" t="str">
        <f ca="1">IFERROR(__xludf.DUMMYFUNCTION("""COMPUTED_VALUE"""),"")</f>
        <v/>
      </c>
      <c r="F805" s="54" t="str">
        <f ca="1">IFERROR(__xludf.DUMMYFUNCTION("""COMPUTED_VALUE"""),"")</f>
        <v/>
      </c>
      <c r="G805" s="38" t="str">
        <f ca="1">IFERROR(__xludf.DUMMYFUNCTION("""COMPUTED_VALUE"""),"")</f>
        <v/>
      </c>
      <c r="H805" s="38" t="str">
        <f ca="1">IFERROR(__xludf.DUMMYFUNCTION("""COMPUTED_VALUE"""),"")</f>
        <v/>
      </c>
    </row>
    <row r="806" spans="1:8" ht="12.75">
      <c r="A806" s="36" t="str">
        <f ca="1">IFERROR(__xludf.DUMMYFUNCTION("""COMPUTED_VALUE"""),"")</f>
        <v/>
      </c>
      <c r="B806" s="37"/>
      <c r="C806" s="54" t="str">
        <f ca="1">IFERROR(__xludf.DUMMYFUNCTION("""COMPUTED_VALUE"""),"")</f>
        <v/>
      </c>
      <c r="D806" s="54" t="str">
        <f ca="1">IFERROR(__xludf.DUMMYFUNCTION("""COMPUTED_VALUE"""),"")</f>
        <v/>
      </c>
      <c r="E806" s="55" t="str">
        <f ca="1">IFERROR(__xludf.DUMMYFUNCTION("""COMPUTED_VALUE"""),"")</f>
        <v/>
      </c>
      <c r="F806" s="54" t="str">
        <f ca="1">IFERROR(__xludf.DUMMYFUNCTION("""COMPUTED_VALUE"""),"")</f>
        <v/>
      </c>
      <c r="G806" s="38" t="str">
        <f ca="1">IFERROR(__xludf.DUMMYFUNCTION("""COMPUTED_VALUE"""),"")</f>
        <v/>
      </c>
      <c r="H806" s="38" t="str">
        <f ca="1">IFERROR(__xludf.DUMMYFUNCTION("""COMPUTED_VALUE"""),"")</f>
        <v/>
      </c>
    </row>
    <row r="807" spans="1:8" ht="12.75">
      <c r="A807" s="36" t="str">
        <f ca="1">IFERROR(__xludf.DUMMYFUNCTION("""COMPUTED_VALUE"""),"")</f>
        <v/>
      </c>
      <c r="B807" s="37"/>
      <c r="C807" s="54" t="str">
        <f ca="1">IFERROR(__xludf.DUMMYFUNCTION("""COMPUTED_VALUE"""),"")</f>
        <v/>
      </c>
      <c r="D807" s="54" t="str">
        <f ca="1">IFERROR(__xludf.DUMMYFUNCTION("""COMPUTED_VALUE"""),"")</f>
        <v/>
      </c>
      <c r="E807" s="55" t="str">
        <f ca="1">IFERROR(__xludf.DUMMYFUNCTION("""COMPUTED_VALUE"""),"")</f>
        <v/>
      </c>
      <c r="F807" s="54" t="str">
        <f ca="1">IFERROR(__xludf.DUMMYFUNCTION("""COMPUTED_VALUE"""),"")</f>
        <v/>
      </c>
      <c r="G807" s="38" t="str">
        <f ca="1">IFERROR(__xludf.DUMMYFUNCTION("""COMPUTED_VALUE"""),"")</f>
        <v/>
      </c>
      <c r="H807" s="38" t="str">
        <f ca="1">IFERROR(__xludf.DUMMYFUNCTION("""COMPUTED_VALUE"""),"")</f>
        <v/>
      </c>
    </row>
    <row r="808" spans="1:8" ht="12.75">
      <c r="A808" s="36" t="str">
        <f ca="1">IFERROR(__xludf.DUMMYFUNCTION("""COMPUTED_VALUE"""),"")</f>
        <v/>
      </c>
      <c r="B808" s="37"/>
      <c r="C808" s="54" t="str">
        <f ca="1">IFERROR(__xludf.DUMMYFUNCTION("""COMPUTED_VALUE"""),"")</f>
        <v/>
      </c>
      <c r="D808" s="54" t="str">
        <f ca="1">IFERROR(__xludf.DUMMYFUNCTION("""COMPUTED_VALUE"""),"")</f>
        <v/>
      </c>
      <c r="E808" s="55" t="str">
        <f ca="1">IFERROR(__xludf.DUMMYFUNCTION("""COMPUTED_VALUE"""),"")</f>
        <v/>
      </c>
      <c r="F808" s="54" t="str">
        <f ca="1">IFERROR(__xludf.DUMMYFUNCTION("""COMPUTED_VALUE"""),"")</f>
        <v/>
      </c>
      <c r="G808" s="38" t="str">
        <f ca="1">IFERROR(__xludf.DUMMYFUNCTION("""COMPUTED_VALUE"""),"")</f>
        <v/>
      </c>
      <c r="H808" s="38" t="str">
        <f ca="1">IFERROR(__xludf.DUMMYFUNCTION("""COMPUTED_VALUE"""),"")</f>
        <v/>
      </c>
    </row>
    <row r="809" spans="1:8" ht="12.75">
      <c r="A809" s="36" t="str">
        <f ca="1">IFERROR(__xludf.DUMMYFUNCTION("""COMPUTED_VALUE"""),"")</f>
        <v/>
      </c>
      <c r="B809" s="37"/>
      <c r="C809" s="54" t="str">
        <f ca="1">IFERROR(__xludf.DUMMYFUNCTION("""COMPUTED_VALUE"""),"")</f>
        <v/>
      </c>
      <c r="D809" s="54" t="str">
        <f ca="1">IFERROR(__xludf.DUMMYFUNCTION("""COMPUTED_VALUE"""),"")</f>
        <v/>
      </c>
      <c r="E809" s="55" t="str">
        <f ca="1">IFERROR(__xludf.DUMMYFUNCTION("""COMPUTED_VALUE"""),"")</f>
        <v/>
      </c>
      <c r="F809" s="54" t="str">
        <f ca="1">IFERROR(__xludf.DUMMYFUNCTION("""COMPUTED_VALUE"""),"")</f>
        <v/>
      </c>
      <c r="G809" s="38" t="str">
        <f ca="1">IFERROR(__xludf.DUMMYFUNCTION("""COMPUTED_VALUE"""),"")</f>
        <v/>
      </c>
      <c r="H809" s="38" t="str">
        <f ca="1">IFERROR(__xludf.DUMMYFUNCTION("""COMPUTED_VALUE"""),"")</f>
        <v/>
      </c>
    </row>
    <row r="810" spans="1:8" ht="12.75">
      <c r="A810" s="36" t="str">
        <f ca="1">IFERROR(__xludf.DUMMYFUNCTION("""COMPUTED_VALUE"""),"")</f>
        <v/>
      </c>
      <c r="B810" s="37"/>
      <c r="C810" s="54" t="str">
        <f ca="1">IFERROR(__xludf.DUMMYFUNCTION("""COMPUTED_VALUE"""),"")</f>
        <v/>
      </c>
      <c r="D810" s="54" t="str">
        <f ca="1">IFERROR(__xludf.DUMMYFUNCTION("""COMPUTED_VALUE"""),"")</f>
        <v/>
      </c>
      <c r="E810" s="55" t="str">
        <f ca="1">IFERROR(__xludf.DUMMYFUNCTION("""COMPUTED_VALUE"""),"")</f>
        <v/>
      </c>
      <c r="F810" s="54" t="str">
        <f ca="1">IFERROR(__xludf.DUMMYFUNCTION("""COMPUTED_VALUE"""),"")</f>
        <v/>
      </c>
      <c r="G810" s="38" t="str">
        <f ca="1">IFERROR(__xludf.DUMMYFUNCTION("""COMPUTED_VALUE"""),"")</f>
        <v/>
      </c>
      <c r="H810" s="38" t="str">
        <f ca="1">IFERROR(__xludf.DUMMYFUNCTION("""COMPUTED_VALUE"""),"")</f>
        <v/>
      </c>
    </row>
    <row r="811" spans="1:8" ht="12.75">
      <c r="A811" s="36" t="str">
        <f ca="1">IFERROR(__xludf.DUMMYFUNCTION("""COMPUTED_VALUE"""),"")</f>
        <v/>
      </c>
      <c r="B811" s="37"/>
      <c r="C811" s="54" t="str">
        <f ca="1">IFERROR(__xludf.DUMMYFUNCTION("""COMPUTED_VALUE"""),"")</f>
        <v/>
      </c>
      <c r="D811" s="54" t="str">
        <f ca="1">IFERROR(__xludf.DUMMYFUNCTION("""COMPUTED_VALUE"""),"")</f>
        <v/>
      </c>
      <c r="E811" s="55" t="str">
        <f ca="1">IFERROR(__xludf.DUMMYFUNCTION("""COMPUTED_VALUE"""),"")</f>
        <v/>
      </c>
      <c r="F811" s="54" t="str">
        <f ca="1">IFERROR(__xludf.DUMMYFUNCTION("""COMPUTED_VALUE"""),"")</f>
        <v/>
      </c>
      <c r="G811" s="38" t="str">
        <f ca="1">IFERROR(__xludf.DUMMYFUNCTION("""COMPUTED_VALUE"""),"")</f>
        <v/>
      </c>
      <c r="H811" s="38" t="str">
        <f ca="1">IFERROR(__xludf.DUMMYFUNCTION("""COMPUTED_VALUE"""),"")</f>
        <v/>
      </c>
    </row>
    <row r="812" spans="1:8" ht="12.75">
      <c r="A812" s="36" t="str">
        <f ca="1">IFERROR(__xludf.DUMMYFUNCTION("""COMPUTED_VALUE"""),"")</f>
        <v/>
      </c>
      <c r="B812" s="37"/>
      <c r="C812" s="54" t="str">
        <f ca="1">IFERROR(__xludf.DUMMYFUNCTION("""COMPUTED_VALUE"""),"")</f>
        <v/>
      </c>
      <c r="D812" s="54" t="str">
        <f ca="1">IFERROR(__xludf.DUMMYFUNCTION("""COMPUTED_VALUE"""),"")</f>
        <v/>
      </c>
      <c r="E812" s="55" t="str">
        <f ca="1">IFERROR(__xludf.DUMMYFUNCTION("""COMPUTED_VALUE"""),"")</f>
        <v/>
      </c>
      <c r="F812" s="54" t="str">
        <f ca="1">IFERROR(__xludf.DUMMYFUNCTION("""COMPUTED_VALUE"""),"")</f>
        <v/>
      </c>
      <c r="G812" s="38" t="str">
        <f ca="1">IFERROR(__xludf.DUMMYFUNCTION("""COMPUTED_VALUE"""),"")</f>
        <v/>
      </c>
      <c r="H812" s="38" t="str">
        <f ca="1">IFERROR(__xludf.DUMMYFUNCTION("""COMPUTED_VALUE"""),"")</f>
        <v/>
      </c>
    </row>
    <row r="813" spans="1:8" ht="12.75">
      <c r="A813" s="36" t="str">
        <f ca="1">IFERROR(__xludf.DUMMYFUNCTION("""COMPUTED_VALUE"""),"")</f>
        <v/>
      </c>
      <c r="B813" s="37"/>
      <c r="C813" s="54" t="str">
        <f ca="1">IFERROR(__xludf.DUMMYFUNCTION("""COMPUTED_VALUE"""),"")</f>
        <v/>
      </c>
      <c r="D813" s="54" t="str">
        <f ca="1">IFERROR(__xludf.DUMMYFUNCTION("""COMPUTED_VALUE"""),"")</f>
        <v/>
      </c>
      <c r="E813" s="55" t="str">
        <f ca="1">IFERROR(__xludf.DUMMYFUNCTION("""COMPUTED_VALUE"""),"")</f>
        <v/>
      </c>
      <c r="F813" s="54" t="str">
        <f ca="1">IFERROR(__xludf.DUMMYFUNCTION("""COMPUTED_VALUE"""),"")</f>
        <v/>
      </c>
      <c r="G813" s="38" t="str">
        <f ca="1">IFERROR(__xludf.DUMMYFUNCTION("""COMPUTED_VALUE"""),"")</f>
        <v/>
      </c>
      <c r="H813" s="38" t="str">
        <f ca="1">IFERROR(__xludf.DUMMYFUNCTION("""COMPUTED_VALUE"""),"")</f>
        <v/>
      </c>
    </row>
    <row r="814" spans="1:8" ht="12.75">
      <c r="A814" s="36" t="str">
        <f ca="1">IFERROR(__xludf.DUMMYFUNCTION("""COMPUTED_VALUE"""),"")</f>
        <v/>
      </c>
      <c r="B814" s="37"/>
      <c r="C814" s="54" t="str">
        <f ca="1">IFERROR(__xludf.DUMMYFUNCTION("""COMPUTED_VALUE"""),"")</f>
        <v/>
      </c>
      <c r="D814" s="54" t="str">
        <f ca="1">IFERROR(__xludf.DUMMYFUNCTION("""COMPUTED_VALUE"""),"")</f>
        <v/>
      </c>
      <c r="E814" s="55" t="str">
        <f ca="1">IFERROR(__xludf.DUMMYFUNCTION("""COMPUTED_VALUE"""),"")</f>
        <v/>
      </c>
      <c r="F814" s="54" t="str">
        <f ca="1">IFERROR(__xludf.DUMMYFUNCTION("""COMPUTED_VALUE"""),"")</f>
        <v/>
      </c>
      <c r="G814" s="38" t="str">
        <f ca="1">IFERROR(__xludf.DUMMYFUNCTION("""COMPUTED_VALUE"""),"")</f>
        <v/>
      </c>
      <c r="H814" s="38" t="str">
        <f ca="1">IFERROR(__xludf.DUMMYFUNCTION("""COMPUTED_VALUE"""),"")</f>
        <v/>
      </c>
    </row>
    <row r="815" spans="1:8" ht="12.75">
      <c r="A815" s="36" t="str">
        <f ca="1">IFERROR(__xludf.DUMMYFUNCTION("""COMPUTED_VALUE"""),"")</f>
        <v/>
      </c>
      <c r="B815" s="37"/>
      <c r="C815" s="54" t="str">
        <f ca="1">IFERROR(__xludf.DUMMYFUNCTION("""COMPUTED_VALUE"""),"")</f>
        <v/>
      </c>
      <c r="D815" s="54" t="str">
        <f ca="1">IFERROR(__xludf.DUMMYFUNCTION("""COMPUTED_VALUE"""),"")</f>
        <v/>
      </c>
      <c r="E815" s="55" t="str">
        <f ca="1">IFERROR(__xludf.DUMMYFUNCTION("""COMPUTED_VALUE"""),"")</f>
        <v/>
      </c>
      <c r="F815" s="54" t="str">
        <f ca="1">IFERROR(__xludf.DUMMYFUNCTION("""COMPUTED_VALUE"""),"")</f>
        <v/>
      </c>
      <c r="G815" s="38" t="str">
        <f ca="1">IFERROR(__xludf.DUMMYFUNCTION("""COMPUTED_VALUE"""),"")</f>
        <v/>
      </c>
      <c r="H815" s="38" t="str">
        <f ca="1">IFERROR(__xludf.DUMMYFUNCTION("""COMPUTED_VALUE"""),"")</f>
        <v/>
      </c>
    </row>
    <row r="816" spans="1:8" ht="12.75">
      <c r="A816" s="36" t="str">
        <f ca="1">IFERROR(__xludf.DUMMYFUNCTION("""COMPUTED_VALUE"""),"")</f>
        <v/>
      </c>
      <c r="B816" s="37"/>
      <c r="C816" s="54" t="str">
        <f ca="1">IFERROR(__xludf.DUMMYFUNCTION("""COMPUTED_VALUE"""),"")</f>
        <v/>
      </c>
      <c r="D816" s="54" t="str">
        <f ca="1">IFERROR(__xludf.DUMMYFUNCTION("""COMPUTED_VALUE"""),"")</f>
        <v/>
      </c>
      <c r="E816" s="55" t="str">
        <f ca="1">IFERROR(__xludf.DUMMYFUNCTION("""COMPUTED_VALUE"""),"")</f>
        <v/>
      </c>
      <c r="F816" s="54" t="str">
        <f ca="1">IFERROR(__xludf.DUMMYFUNCTION("""COMPUTED_VALUE"""),"")</f>
        <v/>
      </c>
      <c r="G816" s="38" t="str">
        <f ca="1">IFERROR(__xludf.DUMMYFUNCTION("""COMPUTED_VALUE"""),"")</f>
        <v/>
      </c>
      <c r="H816" s="38" t="str">
        <f ca="1">IFERROR(__xludf.DUMMYFUNCTION("""COMPUTED_VALUE"""),"")</f>
        <v/>
      </c>
    </row>
    <row r="817" spans="1:8" ht="12.75">
      <c r="A817" s="36" t="str">
        <f ca="1">IFERROR(__xludf.DUMMYFUNCTION("""COMPUTED_VALUE"""),"")</f>
        <v/>
      </c>
      <c r="B817" s="37"/>
      <c r="C817" s="54" t="str">
        <f ca="1">IFERROR(__xludf.DUMMYFUNCTION("""COMPUTED_VALUE"""),"")</f>
        <v/>
      </c>
      <c r="D817" s="54" t="str">
        <f ca="1">IFERROR(__xludf.DUMMYFUNCTION("""COMPUTED_VALUE"""),"")</f>
        <v/>
      </c>
      <c r="E817" s="55" t="str">
        <f ca="1">IFERROR(__xludf.DUMMYFUNCTION("""COMPUTED_VALUE"""),"")</f>
        <v/>
      </c>
      <c r="F817" s="54" t="str">
        <f ca="1">IFERROR(__xludf.DUMMYFUNCTION("""COMPUTED_VALUE"""),"")</f>
        <v/>
      </c>
      <c r="G817" s="38" t="str">
        <f ca="1">IFERROR(__xludf.DUMMYFUNCTION("""COMPUTED_VALUE"""),"")</f>
        <v/>
      </c>
      <c r="H817" s="38" t="str">
        <f ca="1">IFERROR(__xludf.DUMMYFUNCTION("""COMPUTED_VALUE"""),"")</f>
        <v/>
      </c>
    </row>
    <row r="818" spans="1:8" ht="12.75">
      <c r="A818" s="36" t="str">
        <f ca="1">IFERROR(__xludf.DUMMYFUNCTION("""COMPUTED_VALUE"""),"")</f>
        <v/>
      </c>
      <c r="B818" s="37"/>
      <c r="C818" s="54" t="str">
        <f ca="1">IFERROR(__xludf.DUMMYFUNCTION("""COMPUTED_VALUE"""),"")</f>
        <v/>
      </c>
      <c r="D818" s="54" t="str">
        <f ca="1">IFERROR(__xludf.DUMMYFUNCTION("""COMPUTED_VALUE"""),"")</f>
        <v/>
      </c>
      <c r="E818" s="55" t="str">
        <f ca="1">IFERROR(__xludf.DUMMYFUNCTION("""COMPUTED_VALUE"""),"")</f>
        <v/>
      </c>
      <c r="F818" s="54" t="str">
        <f ca="1">IFERROR(__xludf.DUMMYFUNCTION("""COMPUTED_VALUE"""),"")</f>
        <v/>
      </c>
      <c r="G818" s="38" t="str">
        <f ca="1">IFERROR(__xludf.DUMMYFUNCTION("""COMPUTED_VALUE"""),"")</f>
        <v/>
      </c>
      <c r="H818" s="38" t="str">
        <f ca="1">IFERROR(__xludf.DUMMYFUNCTION("""COMPUTED_VALUE"""),"")</f>
        <v/>
      </c>
    </row>
    <row r="819" spans="1:8" ht="12.75">
      <c r="A819" s="36" t="str">
        <f ca="1">IFERROR(__xludf.DUMMYFUNCTION("""COMPUTED_VALUE"""),"")</f>
        <v/>
      </c>
      <c r="B819" s="37"/>
      <c r="C819" s="54" t="str">
        <f ca="1">IFERROR(__xludf.DUMMYFUNCTION("""COMPUTED_VALUE"""),"")</f>
        <v/>
      </c>
      <c r="D819" s="54" t="str">
        <f ca="1">IFERROR(__xludf.DUMMYFUNCTION("""COMPUTED_VALUE"""),"")</f>
        <v/>
      </c>
      <c r="E819" s="55" t="str">
        <f ca="1">IFERROR(__xludf.DUMMYFUNCTION("""COMPUTED_VALUE"""),"")</f>
        <v/>
      </c>
      <c r="F819" s="54" t="str">
        <f ca="1">IFERROR(__xludf.DUMMYFUNCTION("""COMPUTED_VALUE"""),"")</f>
        <v/>
      </c>
      <c r="G819" s="38" t="str">
        <f ca="1">IFERROR(__xludf.DUMMYFUNCTION("""COMPUTED_VALUE"""),"")</f>
        <v/>
      </c>
      <c r="H819" s="38" t="str">
        <f ca="1">IFERROR(__xludf.DUMMYFUNCTION("""COMPUTED_VALUE"""),"")</f>
        <v/>
      </c>
    </row>
    <row r="820" spans="1:8" ht="12.75">
      <c r="A820" s="36" t="str">
        <f ca="1">IFERROR(__xludf.DUMMYFUNCTION("""COMPUTED_VALUE"""),"")</f>
        <v/>
      </c>
      <c r="B820" s="37"/>
      <c r="C820" s="54" t="str">
        <f ca="1">IFERROR(__xludf.DUMMYFUNCTION("""COMPUTED_VALUE"""),"")</f>
        <v/>
      </c>
      <c r="D820" s="54" t="str">
        <f ca="1">IFERROR(__xludf.DUMMYFUNCTION("""COMPUTED_VALUE"""),"")</f>
        <v/>
      </c>
      <c r="E820" s="55" t="str">
        <f ca="1">IFERROR(__xludf.DUMMYFUNCTION("""COMPUTED_VALUE"""),"")</f>
        <v/>
      </c>
      <c r="F820" s="54" t="str">
        <f ca="1">IFERROR(__xludf.DUMMYFUNCTION("""COMPUTED_VALUE"""),"")</f>
        <v/>
      </c>
      <c r="G820" s="38" t="str">
        <f ca="1">IFERROR(__xludf.DUMMYFUNCTION("""COMPUTED_VALUE"""),"")</f>
        <v/>
      </c>
      <c r="H820" s="38" t="str">
        <f ca="1">IFERROR(__xludf.DUMMYFUNCTION("""COMPUTED_VALUE"""),"")</f>
        <v/>
      </c>
    </row>
    <row r="821" spans="1:8" ht="12.75">
      <c r="A821" s="36" t="str">
        <f ca="1">IFERROR(__xludf.DUMMYFUNCTION("""COMPUTED_VALUE"""),"")</f>
        <v/>
      </c>
      <c r="B821" s="37"/>
      <c r="C821" s="54" t="str">
        <f ca="1">IFERROR(__xludf.DUMMYFUNCTION("""COMPUTED_VALUE"""),"")</f>
        <v/>
      </c>
      <c r="D821" s="54" t="str">
        <f ca="1">IFERROR(__xludf.DUMMYFUNCTION("""COMPUTED_VALUE"""),"")</f>
        <v/>
      </c>
      <c r="E821" s="55" t="str">
        <f ca="1">IFERROR(__xludf.DUMMYFUNCTION("""COMPUTED_VALUE"""),"")</f>
        <v/>
      </c>
      <c r="F821" s="54" t="str">
        <f ca="1">IFERROR(__xludf.DUMMYFUNCTION("""COMPUTED_VALUE"""),"")</f>
        <v/>
      </c>
      <c r="G821" s="38" t="str">
        <f ca="1">IFERROR(__xludf.DUMMYFUNCTION("""COMPUTED_VALUE"""),"")</f>
        <v/>
      </c>
      <c r="H821" s="38" t="str">
        <f ca="1">IFERROR(__xludf.DUMMYFUNCTION("""COMPUTED_VALUE"""),"")</f>
        <v/>
      </c>
    </row>
    <row r="822" spans="1:8" ht="12.75">
      <c r="A822" s="36" t="str">
        <f ca="1">IFERROR(__xludf.DUMMYFUNCTION("""COMPUTED_VALUE"""),"")</f>
        <v/>
      </c>
      <c r="B822" s="37"/>
      <c r="C822" s="54" t="str">
        <f ca="1">IFERROR(__xludf.DUMMYFUNCTION("""COMPUTED_VALUE"""),"")</f>
        <v/>
      </c>
      <c r="D822" s="54" t="str">
        <f ca="1">IFERROR(__xludf.DUMMYFUNCTION("""COMPUTED_VALUE"""),"")</f>
        <v/>
      </c>
      <c r="E822" s="55" t="str">
        <f ca="1">IFERROR(__xludf.DUMMYFUNCTION("""COMPUTED_VALUE"""),"")</f>
        <v/>
      </c>
      <c r="F822" s="54" t="str">
        <f ca="1">IFERROR(__xludf.DUMMYFUNCTION("""COMPUTED_VALUE"""),"")</f>
        <v/>
      </c>
      <c r="G822" s="38" t="str">
        <f ca="1">IFERROR(__xludf.DUMMYFUNCTION("""COMPUTED_VALUE"""),"")</f>
        <v/>
      </c>
      <c r="H822" s="38" t="str">
        <f ca="1">IFERROR(__xludf.DUMMYFUNCTION("""COMPUTED_VALUE"""),"")</f>
        <v/>
      </c>
    </row>
    <row r="823" spans="1:8" ht="12.75">
      <c r="A823" s="36" t="str">
        <f ca="1">IFERROR(__xludf.DUMMYFUNCTION("""COMPUTED_VALUE"""),"")</f>
        <v/>
      </c>
      <c r="B823" s="37"/>
      <c r="C823" s="54" t="str">
        <f ca="1">IFERROR(__xludf.DUMMYFUNCTION("""COMPUTED_VALUE"""),"")</f>
        <v/>
      </c>
      <c r="D823" s="54" t="str">
        <f ca="1">IFERROR(__xludf.DUMMYFUNCTION("""COMPUTED_VALUE"""),"")</f>
        <v/>
      </c>
      <c r="E823" s="55" t="str">
        <f ca="1">IFERROR(__xludf.DUMMYFUNCTION("""COMPUTED_VALUE"""),"")</f>
        <v/>
      </c>
      <c r="F823" s="54" t="str">
        <f ca="1">IFERROR(__xludf.DUMMYFUNCTION("""COMPUTED_VALUE"""),"")</f>
        <v/>
      </c>
      <c r="G823" s="38" t="str">
        <f ca="1">IFERROR(__xludf.DUMMYFUNCTION("""COMPUTED_VALUE"""),"")</f>
        <v/>
      </c>
      <c r="H823" s="38" t="str">
        <f ca="1">IFERROR(__xludf.DUMMYFUNCTION("""COMPUTED_VALUE"""),"")</f>
        <v/>
      </c>
    </row>
    <row r="824" spans="1:8" ht="12.75">
      <c r="A824" s="36" t="str">
        <f ca="1">IFERROR(__xludf.DUMMYFUNCTION("""COMPUTED_VALUE"""),"")</f>
        <v/>
      </c>
      <c r="B824" s="37"/>
      <c r="C824" s="54" t="str">
        <f ca="1">IFERROR(__xludf.DUMMYFUNCTION("""COMPUTED_VALUE"""),"")</f>
        <v/>
      </c>
      <c r="D824" s="54" t="str">
        <f ca="1">IFERROR(__xludf.DUMMYFUNCTION("""COMPUTED_VALUE"""),"")</f>
        <v/>
      </c>
      <c r="E824" s="55" t="str">
        <f ca="1">IFERROR(__xludf.DUMMYFUNCTION("""COMPUTED_VALUE"""),"")</f>
        <v/>
      </c>
      <c r="F824" s="54" t="str">
        <f ca="1">IFERROR(__xludf.DUMMYFUNCTION("""COMPUTED_VALUE"""),"")</f>
        <v/>
      </c>
      <c r="G824" s="38" t="str">
        <f ca="1">IFERROR(__xludf.DUMMYFUNCTION("""COMPUTED_VALUE"""),"")</f>
        <v/>
      </c>
      <c r="H824" s="38" t="str">
        <f ca="1">IFERROR(__xludf.DUMMYFUNCTION("""COMPUTED_VALUE"""),"")</f>
        <v/>
      </c>
    </row>
    <row r="825" spans="1:8" ht="12.75">
      <c r="A825" s="36" t="str">
        <f ca="1">IFERROR(__xludf.DUMMYFUNCTION("""COMPUTED_VALUE"""),"")</f>
        <v/>
      </c>
      <c r="B825" s="37"/>
      <c r="C825" s="54" t="str">
        <f ca="1">IFERROR(__xludf.DUMMYFUNCTION("""COMPUTED_VALUE"""),"")</f>
        <v/>
      </c>
      <c r="D825" s="54" t="str">
        <f ca="1">IFERROR(__xludf.DUMMYFUNCTION("""COMPUTED_VALUE"""),"")</f>
        <v/>
      </c>
      <c r="E825" s="55" t="str">
        <f ca="1">IFERROR(__xludf.DUMMYFUNCTION("""COMPUTED_VALUE"""),"")</f>
        <v/>
      </c>
      <c r="F825" s="54" t="str">
        <f ca="1">IFERROR(__xludf.DUMMYFUNCTION("""COMPUTED_VALUE"""),"")</f>
        <v/>
      </c>
      <c r="G825" s="38" t="str">
        <f ca="1">IFERROR(__xludf.DUMMYFUNCTION("""COMPUTED_VALUE"""),"")</f>
        <v/>
      </c>
      <c r="H825" s="38" t="str">
        <f ca="1">IFERROR(__xludf.DUMMYFUNCTION("""COMPUTED_VALUE"""),"")</f>
        <v/>
      </c>
    </row>
    <row r="826" spans="1:8" ht="12.75">
      <c r="A826" s="36" t="str">
        <f ca="1">IFERROR(__xludf.DUMMYFUNCTION("""COMPUTED_VALUE"""),"")</f>
        <v/>
      </c>
      <c r="B826" s="37"/>
      <c r="C826" s="54" t="str">
        <f ca="1">IFERROR(__xludf.DUMMYFUNCTION("""COMPUTED_VALUE"""),"")</f>
        <v/>
      </c>
      <c r="D826" s="54" t="str">
        <f ca="1">IFERROR(__xludf.DUMMYFUNCTION("""COMPUTED_VALUE"""),"")</f>
        <v/>
      </c>
      <c r="E826" s="55" t="str">
        <f ca="1">IFERROR(__xludf.DUMMYFUNCTION("""COMPUTED_VALUE"""),"")</f>
        <v/>
      </c>
      <c r="F826" s="54" t="str">
        <f ca="1">IFERROR(__xludf.DUMMYFUNCTION("""COMPUTED_VALUE"""),"")</f>
        <v/>
      </c>
      <c r="G826" s="38" t="str">
        <f ca="1">IFERROR(__xludf.DUMMYFUNCTION("""COMPUTED_VALUE"""),"")</f>
        <v/>
      </c>
      <c r="H826" s="38" t="str">
        <f ca="1">IFERROR(__xludf.DUMMYFUNCTION("""COMPUTED_VALUE"""),"")</f>
        <v/>
      </c>
    </row>
    <row r="827" spans="1:8" ht="12.75">
      <c r="A827" s="36" t="str">
        <f ca="1">IFERROR(__xludf.DUMMYFUNCTION("""COMPUTED_VALUE"""),"")</f>
        <v/>
      </c>
      <c r="B827" s="37"/>
      <c r="C827" s="54" t="str">
        <f ca="1">IFERROR(__xludf.DUMMYFUNCTION("""COMPUTED_VALUE"""),"")</f>
        <v/>
      </c>
      <c r="D827" s="54" t="str">
        <f ca="1">IFERROR(__xludf.DUMMYFUNCTION("""COMPUTED_VALUE"""),"")</f>
        <v/>
      </c>
      <c r="E827" s="55" t="str">
        <f ca="1">IFERROR(__xludf.DUMMYFUNCTION("""COMPUTED_VALUE"""),"")</f>
        <v/>
      </c>
      <c r="F827" s="54" t="str">
        <f ca="1">IFERROR(__xludf.DUMMYFUNCTION("""COMPUTED_VALUE"""),"")</f>
        <v/>
      </c>
      <c r="G827" s="38" t="str">
        <f ca="1">IFERROR(__xludf.DUMMYFUNCTION("""COMPUTED_VALUE"""),"")</f>
        <v/>
      </c>
      <c r="H827" s="38" t="str">
        <f ca="1">IFERROR(__xludf.DUMMYFUNCTION("""COMPUTED_VALUE"""),"")</f>
        <v/>
      </c>
    </row>
    <row r="828" spans="1:8" ht="12.75">
      <c r="A828" s="36" t="str">
        <f ca="1">IFERROR(__xludf.DUMMYFUNCTION("""COMPUTED_VALUE"""),"")</f>
        <v/>
      </c>
      <c r="B828" s="37"/>
      <c r="C828" s="54" t="str">
        <f ca="1">IFERROR(__xludf.DUMMYFUNCTION("""COMPUTED_VALUE"""),"")</f>
        <v/>
      </c>
      <c r="D828" s="54" t="str">
        <f ca="1">IFERROR(__xludf.DUMMYFUNCTION("""COMPUTED_VALUE"""),"")</f>
        <v/>
      </c>
      <c r="E828" s="55" t="str">
        <f ca="1">IFERROR(__xludf.DUMMYFUNCTION("""COMPUTED_VALUE"""),"")</f>
        <v/>
      </c>
      <c r="F828" s="54" t="str">
        <f ca="1">IFERROR(__xludf.DUMMYFUNCTION("""COMPUTED_VALUE"""),"")</f>
        <v/>
      </c>
      <c r="G828" s="38" t="str">
        <f ca="1">IFERROR(__xludf.DUMMYFUNCTION("""COMPUTED_VALUE"""),"")</f>
        <v/>
      </c>
      <c r="H828" s="38" t="str">
        <f ca="1">IFERROR(__xludf.DUMMYFUNCTION("""COMPUTED_VALUE"""),"")</f>
        <v/>
      </c>
    </row>
    <row r="829" spans="1:8" ht="12.75">
      <c r="A829" s="36" t="str">
        <f ca="1">IFERROR(__xludf.DUMMYFUNCTION("""COMPUTED_VALUE"""),"")</f>
        <v/>
      </c>
      <c r="B829" s="37"/>
      <c r="C829" s="54" t="str">
        <f ca="1">IFERROR(__xludf.DUMMYFUNCTION("""COMPUTED_VALUE"""),"")</f>
        <v/>
      </c>
      <c r="D829" s="54" t="str">
        <f ca="1">IFERROR(__xludf.DUMMYFUNCTION("""COMPUTED_VALUE"""),"")</f>
        <v/>
      </c>
      <c r="E829" s="55" t="str">
        <f ca="1">IFERROR(__xludf.DUMMYFUNCTION("""COMPUTED_VALUE"""),"")</f>
        <v/>
      </c>
      <c r="F829" s="54" t="str">
        <f ca="1">IFERROR(__xludf.DUMMYFUNCTION("""COMPUTED_VALUE"""),"")</f>
        <v/>
      </c>
      <c r="G829" s="38" t="str">
        <f ca="1">IFERROR(__xludf.DUMMYFUNCTION("""COMPUTED_VALUE"""),"")</f>
        <v/>
      </c>
      <c r="H829" s="38" t="str">
        <f ca="1">IFERROR(__xludf.DUMMYFUNCTION("""COMPUTED_VALUE"""),"")</f>
        <v/>
      </c>
    </row>
    <row r="830" spans="1:8" ht="12.75">
      <c r="A830" s="36" t="str">
        <f ca="1">IFERROR(__xludf.DUMMYFUNCTION("""COMPUTED_VALUE"""),"")</f>
        <v/>
      </c>
      <c r="B830" s="37"/>
      <c r="C830" s="54" t="str">
        <f ca="1">IFERROR(__xludf.DUMMYFUNCTION("""COMPUTED_VALUE"""),"")</f>
        <v/>
      </c>
      <c r="D830" s="54" t="str">
        <f ca="1">IFERROR(__xludf.DUMMYFUNCTION("""COMPUTED_VALUE"""),"")</f>
        <v/>
      </c>
      <c r="E830" s="55" t="str">
        <f ca="1">IFERROR(__xludf.DUMMYFUNCTION("""COMPUTED_VALUE"""),"")</f>
        <v/>
      </c>
      <c r="F830" s="54" t="str">
        <f ca="1">IFERROR(__xludf.DUMMYFUNCTION("""COMPUTED_VALUE"""),"")</f>
        <v/>
      </c>
      <c r="G830" s="38" t="str">
        <f ca="1">IFERROR(__xludf.DUMMYFUNCTION("""COMPUTED_VALUE"""),"")</f>
        <v/>
      </c>
      <c r="H830" s="38" t="str">
        <f ca="1">IFERROR(__xludf.DUMMYFUNCTION("""COMPUTED_VALUE"""),"")</f>
        <v/>
      </c>
    </row>
    <row r="831" spans="1:8" ht="12.75">
      <c r="A831" s="36" t="str">
        <f ca="1">IFERROR(__xludf.DUMMYFUNCTION("""COMPUTED_VALUE"""),"")</f>
        <v/>
      </c>
      <c r="B831" s="37"/>
      <c r="C831" s="54" t="str">
        <f ca="1">IFERROR(__xludf.DUMMYFUNCTION("""COMPUTED_VALUE"""),"")</f>
        <v/>
      </c>
      <c r="D831" s="54" t="str">
        <f ca="1">IFERROR(__xludf.DUMMYFUNCTION("""COMPUTED_VALUE"""),"")</f>
        <v/>
      </c>
      <c r="E831" s="55" t="str">
        <f ca="1">IFERROR(__xludf.DUMMYFUNCTION("""COMPUTED_VALUE"""),"")</f>
        <v/>
      </c>
      <c r="F831" s="54" t="str">
        <f ca="1">IFERROR(__xludf.DUMMYFUNCTION("""COMPUTED_VALUE"""),"")</f>
        <v/>
      </c>
      <c r="G831" s="38" t="str">
        <f ca="1">IFERROR(__xludf.DUMMYFUNCTION("""COMPUTED_VALUE"""),"")</f>
        <v/>
      </c>
      <c r="H831" s="38" t="str">
        <f ca="1">IFERROR(__xludf.DUMMYFUNCTION("""COMPUTED_VALUE"""),"")</f>
        <v/>
      </c>
    </row>
    <row r="832" spans="1:8" ht="12.75">
      <c r="A832" s="36" t="str">
        <f ca="1">IFERROR(__xludf.DUMMYFUNCTION("""COMPUTED_VALUE"""),"")</f>
        <v/>
      </c>
      <c r="B832" s="37"/>
      <c r="C832" s="54" t="str">
        <f ca="1">IFERROR(__xludf.DUMMYFUNCTION("""COMPUTED_VALUE"""),"")</f>
        <v/>
      </c>
      <c r="D832" s="54" t="str">
        <f ca="1">IFERROR(__xludf.DUMMYFUNCTION("""COMPUTED_VALUE"""),"")</f>
        <v/>
      </c>
      <c r="E832" s="55" t="str">
        <f ca="1">IFERROR(__xludf.DUMMYFUNCTION("""COMPUTED_VALUE"""),"")</f>
        <v/>
      </c>
      <c r="F832" s="54" t="str">
        <f ca="1">IFERROR(__xludf.DUMMYFUNCTION("""COMPUTED_VALUE"""),"")</f>
        <v/>
      </c>
      <c r="G832" s="38" t="str">
        <f ca="1">IFERROR(__xludf.DUMMYFUNCTION("""COMPUTED_VALUE"""),"")</f>
        <v/>
      </c>
      <c r="H832" s="38" t="str">
        <f ca="1">IFERROR(__xludf.DUMMYFUNCTION("""COMPUTED_VALUE"""),"")</f>
        <v/>
      </c>
    </row>
    <row r="833" spans="1:8" ht="12.75">
      <c r="A833" s="36" t="str">
        <f ca="1">IFERROR(__xludf.DUMMYFUNCTION("""COMPUTED_VALUE"""),"")</f>
        <v/>
      </c>
      <c r="B833" s="37"/>
      <c r="C833" s="54" t="str">
        <f ca="1">IFERROR(__xludf.DUMMYFUNCTION("""COMPUTED_VALUE"""),"")</f>
        <v/>
      </c>
      <c r="D833" s="54" t="str">
        <f ca="1">IFERROR(__xludf.DUMMYFUNCTION("""COMPUTED_VALUE"""),"")</f>
        <v/>
      </c>
      <c r="E833" s="55" t="str">
        <f ca="1">IFERROR(__xludf.DUMMYFUNCTION("""COMPUTED_VALUE"""),"")</f>
        <v/>
      </c>
      <c r="F833" s="54" t="str">
        <f ca="1">IFERROR(__xludf.DUMMYFUNCTION("""COMPUTED_VALUE"""),"")</f>
        <v/>
      </c>
      <c r="G833" s="38" t="str">
        <f ca="1">IFERROR(__xludf.DUMMYFUNCTION("""COMPUTED_VALUE"""),"")</f>
        <v/>
      </c>
      <c r="H833" s="38" t="str">
        <f ca="1">IFERROR(__xludf.DUMMYFUNCTION("""COMPUTED_VALUE"""),"")</f>
        <v/>
      </c>
    </row>
    <row r="834" spans="1:8" ht="12.75">
      <c r="A834" s="36" t="str">
        <f ca="1">IFERROR(__xludf.DUMMYFUNCTION("""COMPUTED_VALUE"""),"")</f>
        <v/>
      </c>
      <c r="B834" s="37"/>
      <c r="C834" s="54" t="str">
        <f ca="1">IFERROR(__xludf.DUMMYFUNCTION("""COMPUTED_VALUE"""),"")</f>
        <v/>
      </c>
      <c r="D834" s="54" t="str">
        <f ca="1">IFERROR(__xludf.DUMMYFUNCTION("""COMPUTED_VALUE"""),"")</f>
        <v/>
      </c>
      <c r="E834" s="55" t="str">
        <f ca="1">IFERROR(__xludf.DUMMYFUNCTION("""COMPUTED_VALUE"""),"")</f>
        <v/>
      </c>
      <c r="F834" s="54" t="str">
        <f ca="1">IFERROR(__xludf.DUMMYFUNCTION("""COMPUTED_VALUE"""),"")</f>
        <v/>
      </c>
      <c r="G834" s="38" t="str">
        <f ca="1">IFERROR(__xludf.DUMMYFUNCTION("""COMPUTED_VALUE"""),"")</f>
        <v/>
      </c>
      <c r="H834" s="38" t="str">
        <f ca="1">IFERROR(__xludf.DUMMYFUNCTION("""COMPUTED_VALUE"""),"")</f>
        <v/>
      </c>
    </row>
    <row r="835" spans="1:8" ht="12.75">
      <c r="A835" s="36" t="str">
        <f ca="1">IFERROR(__xludf.DUMMYFUNCTION("""COMPUTED_VALUE"""),"")</f>
        <v/>
      </c>
      <c r="B835" s="37"/>
      <c r="C835" s="54" t="str">
        <f ca="1">IFERROR(__xludf.DUMMYFUNCTION("""COMPUTED_VALUE"""),"")</f>
        <v/>
      </c>
      <c r="D835" s="54" t="str">
        <f ca="1">IFERROR(__xludf.DUMMYFUNCTION("""COMPUTED_VALUE"""),"")</f>
        <v/>
      </c>
      <c r="E835" s="55" t="str">
        <f ca="1">IFERROR(__xludf.DUMMYFUNCTION("""COMPUTED_VALUE"""),"")</f>
        <v/>
      </c>
      <c r="F835" s="54" t="str">
        <f ca="1">IFERROR(__xludf.DUMMYFUNCTION("""COMPUTED_VALUE"""),"")</f>
        <v/>
      </c>
      <c r="G835" s="38" t="str">
        <f ca="1">IFERROR(__xludf.DUMMYFUNCTION("""COMPUTED_VALUE"""),"")</f>
        <v/>
      </c>
      <c r="H835" s="38" t="str">
        <f ca="1">IFERROR(__xludf.DUMMYFUNCTION("""COMPUTED_VALUE"""),"")</f>
        <v/>
      </c>
    </row>
    <row r="836" spans="1:8" ht="12.75">
      <c r="A836" s="36" t="str">
        <f ca="1">IFERROR(__xludf.DUMMYFUNCTION("""COMPUTED_VALUE"""),"")</f>
        <v/>
      </c>
      <c r="B836" s="37"/>
      <c r="C836" s="54" t="str">
        <f ca="1">IFERROR(__xludf.DUMMYFUNCTION("""COMPUTED_VALUE"""),"")</f>
        <v/>
      </c>
      <c r="D836" s="54" t="str">
        <f ca="1">IFERROR(__xludf.DUMMYFUNCTION("""COMPUTED_VALUE"""),"")</f>
        <v/>
      </c>
      <c r="E836" s="55" t="str">
        <f ca="1">IFERROR(__xludf.DUMMYFUNCTION("""COMPUTED_VALUE"""),"")</f>
        <v/>
      </c>
      <c r="F836" s="54" t="str">
        <f ca="1">IFERROR(__xludf.DUMMYFUNCTION("""COMPUTED_VALUE"""),"")</f>
        <v/>
      </c>
      <c r="G836" s="38" t="str">
        <f ca="1">IFERROR(__xludf.DUMMYFUNCTION("""COMPUTED_VALUE"""),"")</f>
        <v/>
      </c>
      <c r="H836" s="38" t="str">
        <f ca="1">IFERROR(__xludf.DUMMYFUNCTION("""COMPUTED_VALUE"""),"")</f>
        <v/>
      </c>
    </row>
    <row r="837" spans="1:8" ht="12.75">
      <c r="A837" s="36" t="str">
        <f ca="1">IFERROR(__xludf.DUMMYFUNCTION("""COMPUTED_VALUE"""),"")</f>
        <v/>
      </c>
      <c r="B837" s="37"/>
      <c r="C837" s="54" t="str">
        <f ca="1">IFERROR(__xludf.DUMMYFUNCTION("""COMPUTED_VALUE"""),"")</f>
        <v/>
      </c>
      <c r="D837" s="54" t="str">
        <f ca="1">IFERROR(__xludf.DUMMYFUNCTION("""COMPUTED_VALUE"""),"")</f>
        <v/>
      </c>
      <c r="E837" s="55" t="str">
        <f ca="1">IFERROR(__xludf.DUMMYFUNCTION("""COMPUTED_VALUE"""),"")</f>
        <v/>
      </c>
      <c r="F837" s="54" t="str">
        <f ca="1">IFERROR(__xludf.DUMMYFUNCTION("""COMPUTED_VALUE"""),"")</f>
        <v/>
      </c>
      <c r="G837" s="38" t="str">
        <f ca="1">IFERROR(__xludf.DUMMYFUNCTION("""COMPUTED_VALUE"""),"")</f>
        <v/>
      </c>
      <c r="H837" s="38" t="str">
        <f ca="1">IFERROR(__xludf.DUMMYFUNCTION("""COMPUTED_VALUE"""),"")</f>
        <v/>
      </c>
    </row>
    <row r="838" spans="1:8" ht="12.75">
      <c r="A838" s="36" t="str">
        <f ca="1">IFERROR(__xludf.DUMMYFUNCTION("""COMPUTED_VALUE"""),"")</f>
        <v/>
      </c>
      <c r="B838" s="37"/>
      <c r="C838" s="54" t="str">
        <f ca="1">IFERROR(__xludf.DUMMYFUNCTION("""COMPUTED_VALUE"""),"")</f>
        <v/>
      </c>
      <c r="D838" s="54" t="str">
        <f ca="1">IFERROR(__xludf.DUMMYFUNCTION("""COMPUTED_VALUE"""),"")</f>
        <v/>
      </c>
      <c r="E838" s="55" t="str">
        <f ca="1">IFERROR(__xludf.DUMMYFUNCTION("""COMPUTED_VALUE"""),"")</f>
        <v/>
      </c>
      <c r="F838" s="54" t="str">
        <f ca="1">IFERROR(__xludf.DUMMYFUNCTION("""COMPUTED_VALUE"""),"")</f>
        <v/>
      </c>
      <c r="G838" s="38" t="str">
        <f ca="1">IFERROR(__xludf.DUMMYFUNCTION("""COMPUTED_VALUE"""),"")</f>
        <v/>
      </c>
      <c r="H838" s="38" t="str">
        <f ca="1">IFERROR(__xludf.DUMMYFUNCTION("""COMPUTED_VALUE"""),"")</f>
        <v/>
      </c>
    </row>
    <row r="839" spans="1:8" ht="12.75">
      <c r="A839" s="36" t="str">
        <f ca="1">IFERROR(__xludf.DUMMYFUNCTION("""COMPUTED_VALUE"""),"")</f>
        <v/>
      </c>
      <c r="B839" s="37"/>
      <c r="C839" s="54" t="str">
        <f ca="1">IFERROR(__xludf.DUMMYFUNCTION("""COMPUTED_VALUE"""),"")</f>
        <v/>
      </c>
      <c r="D839" s="54" t="str">
        <f ca="1">IFERROR(__xludf.DUMMYFUNCTION("""COMPUTED_VALUE"""),"")</f>
        <v/>
      </c>
      <c r="E839" s="55" t="str">
        <f ca="1">IFERROR(__xludf.DUMMYFUNCTION("""COMPUTED_VALUE"""),"")</f>
        <v/>
      </c>
      <c r="F839" s="54" t="str">
        <f ca="1">IFERROR(__xludf.DUMMYFUNCTION("""COMPUTED_VALUE"""),"")</f>
        <v/>
      </c>
      <c r="G839" s="38" t="str">
        <f ca="1">IFERROR(__xludf.DUMMYFUNCTION("""COMPUTED_VALUE"""),"")</f>
        <v/>
      </c>
      <c r="H839" s="38" t="str">
        <f ca="1">IFERROR(__xludf.DUMMYFUNCTION("""COMPUTED_VALUE"""),"")</f>
        <v/>
      </c>
    </row>
    <row r="840" spans="1:8" ht="12.75">
      <c r="A840" s="36" t="str">
        <f ca="1">IFERROR(__xludf.DUMMYFUNCTION("""COMPUTED_VALUE"""),"")</f>
        <v/>
      </c>
      <c r="B840" s="37"/>
      <c r="C840" s="54" t="str">
        <f ca="1">IFERROR(__xludf.DUMMYFUNCTION("""COMPUTED_VALUE"""),"")</f>
        <v/>
      </c>
      <c r="D840" s="54" t="str">
        <f ca="1">IFERROR(__xludf.DUMMYFUNCTION("""COMPUTED_VALUE"""),"")</f>
        <v/>
      </c>
      <c r="E840" s="55" t="str">
        <f ca="1">IFERROR(__xludf.DUMMYFUNCTION("""COMPUTED_VALUE"""),"")</f>
        <v/>
      </c>
      <c r="F840" s="54" t="str">
        <f ca="1">IFERROR(__xludf.DUMMYFUNCTION("""COMPUTED_VALUE"""),"")</f>
        <v/>
      </c>
      <c r="G840" s="38" t="str">
        <f ca="1">IFERROR(__xludf.DUMMYFUNCTION("""COMPUTED_VALUE"""),"")</f>
        <v/>
      </c>
      <c r="H840" s="38" t="str">
        <f ca="1">IFERROR(__xludf.DUMMYFUNCTION("""COMPUTED_VALUE"""),"")</f>
        <v/>
      </c>
    </row>
    <row r="841" spans="1:8" ht="12.75">
      <c r="A841" s="36" t="str">
        <f ca="1">IFERROR(__xludf.DUMMYFUNCTION("""COMPUTED_VALUE"""),"")</f>
        <v/>
      </c>
      <c r="B841" s="37"/>
      <c r="C841" s="54" t="str">
        <f ca="1">IFERROR(__xludf.DUMMYFUNCTION("""COMPUTED_VALUE"""),"")</f>
        <v/>
      </c>
      <c r="D841" s="54" t="str">
        <f ca="1">IFERROR(__xludf.DUMMYFUNCTION("""COMPUTED_VALUE"""),"")</f>
        <v/>
      </c>
      <c r="E841" s="55" t="str">
        <f ca="1">IFERROR(__xludf.DUMMYFUNCTION("""COMPUTED_VALUE"""),"")</f>
        <v/>
      </c>
      <c r="F841" s="54" t="str">
        <f ca="1">IFERROR(__xludf.DUMMYFUNCTION("""COMPUTED_VALUE"""),"")</f>
        <v/>
      </c>
      <c r="G841" s="38" t="str">
        <f ca="1">IFERROR(__xludf.DUMMYFUNCTION("""COMPUTED_VALUE"""),"")</f>
        <v/>
      </c>
      <c r="H841" s="38" t="str">
        <f ca="1">IFERROR(__xludf.DUMMYFUNCTION("""COMPUTED_VALUE"""),"")</f>
        <v/>
      </c>
    </row>
    <row r="842" spans="1:8" ht="12.75">
      <c r="A842" s="36" t="str">
        <f ca="1">IFERROR(__xludf.DUMMYFUNCTION("""COMPUTED_VALUE"""),"")</f>
        <v/>
      </c>
      <c r="B842" s="37"/>
      <c r="C842" s="54" t="str">
        <f ca="1">IFERROR(__xludf.DUMMYFUNCTION("""COMPUTED_VALUE"""),"")</f>
        <v/>
      </c>
      <c r="D842" s="54" t="str">
        <f ca="1">IFERROR(__xludf.DUMMYFUNCTION("""COMPUTED_VALUE"""),"")</f>
        <v/>
      </c>
      <c r="E842" s="55" t="str">
        <f ca="1">IFERROR(__xludf.DUMMYFUNCTION("""COMPUTED_VALUE"""),"")</f>
        <v/>
      </c>
      <c r="F842" s="54" t="str">
        <f ca="1">IFERROR(__xludf.DUMMYFUNCTION("""COMPUTED_VALUE"""),"")</f>
        <v/>
      </c>
      <c r="G842" s="38" t="str">
        <f ca="1">IFERROR(__xludf.DUMMYFUNCTION("""COMPUTED_VALUE"""),"")</f>
        <v/>
      </c>
      <c r="H842" s="38" t="str">
        <f ca="1">IFERROR(__xludf.DUMMYFUNCTION("""COMPUTED_VALUE"""),"")</f>
        <v/>
      </c>
    </row>
    <row r="843" spans="1:8" ht="12.75">
      <c r="A843" s="36" t="str">
        <f ca="1">IFERROR(__xludf.DUMMYFUNCTION("""COMPUTED_VALUE"""),"")</f>
        <v/>
      </c>
      <c r="B843" s="37"/>
      <c r="C843" s="54" t="str">
        <f ca="1">IFERROR(__xludf.DUMMYFUNCTION("""COMPUTED_VALUE"""),"")</f>
        <v/>
      </c>
      <c r="D843" s="54" t="str">
        <f ca="1">IFERROR(__xludf.DUMMYFUNCTION("""COMPUTED_VALUE"""),"")</f>
        <v/>
      </c>
      <c r="E843" s="55" t="str">
        <f ca="1">IFERROR(__xludf.DUMMYFUNCTION("""COMPUTED_VALUE"""),"")</f>
        <v/>
      </c>
      <c r="F843" s="54" t="str">
        <f ca="1">IFERROR(__xludf.DUMMYFUNCTION("""COMPUTED_VALUE"""),"")</f>
        <v/>
      </c>
      <c r="G843" s="38" t="str">
        <f ca="1">IFERROR(__xludf.DUMMYFUNCTION("""COMPUTED_VALUE"""),"")</f>
        <v/>
      </c>
      <c r="H843" s="38" t="str">
        <f ca="1">IFERROR(__xludf.DUMMYFUNCTION("""COMPUTED_VALUE"""),"")</f>
        <v/>
      </c>
    </row>
    <row r="844" spans="1:8" ht="12.75">
      <c r="A844" s="36" t="str">
        <f ca="1">IFERROR(__xludf.DUMMYFUNCTION("""COMPUTED_VALUE"""),"")</f>
        <v/>
      </c>
      <c r="B844" s="37"/>
      <c r="C844" s="54" t="str">
        <f ca="1">IFERROR(__xludf.DUMMYFUNCTION("""COMPUTED_VALUE"""),"")</f>
        <v/>
      </c>
      <c r="D844" s="54" t="str">
        <f ca="1">IFERROR(__xludf.DUMMYFUNCTION("""COMPUTED_VALUE"""),"")</f>
        <v/>
      </c>
      <c r="E844" s="55" t="str">
        <f ca="1">IFERROR(__xludf.DUMMYFUNCTION("""COMPUTED_VALUE"""),"")</f>
        <v/>
      </c>
      <c r="F844" s="54" t="str">
        <f ca="1">IFERROR(__xludf.DUMMYFUNCTION("""COMPUTED_VALUE"""),"")</f>
        <v/>
      </c>
      <c r="G844" s="38" t="str">
        <f ca="1">IFERROR(__xludf.DUMMYFUNCTION("""COMPUTED_VALUE"""),"")</f>
        <v/>
      </c>
      <c r="H844" s="38" t="str">
        <f ca="1">IFERROR(__xludf.DUMMYFUNCTION("""COMPUTED_VALUE"""),"")</f>
        <v/>
      </c>
    </row>
    <row r="845" spans="1:8" ht="12.75">
      <c r="A845" s="36" t="str">
        <f ca="1">IFERROR(__xludf.DUMMYFUNCTION("""COMPUTED_VALUE"""),"")</f>
        <v/>
      </c>
      <c r="B845" s="37"/>
      <c r="C845" s="54" t="str">
        <f ca="1">IFERROR(__xludf.DUMMYFUNCTION("""COMPUTED_VALUE"""),"")</f>
        <v/>
      </c>
      <c r="D845" s="54" t="str">
        <f ca="1">IFERROR(__xludf.DUMMYFUNCTION("""COMPUTED_VALUE"""),"")</f>
        <v/>
      </c>
      <c r="E845" s="55" t="str">
        <f ca="1">IFERROR(__xludf.DUMMYFUNCTION("""COMPUTED_VALUE"""),"")</f>
        <v/>
      </c>
      <c r="F845" s="54" t="str">
        <f ca="1">IFERROR(__xludf.DUMMYFUNCTION("""COMPUTED_VALUE"""),"")</f>
        <v/>
      </c>
      <c r="G845" s="38" t="str">
        <f ca="1">IFERROR(__xludf.DUMMYFUNCTION("""COMPUTED_VALUE"""),"")</f>
        <v/>
      </c>
      <c r="H845" s="38" t="str">
        <f ca="1">IFERROR(__xludf.DUMMYFUNCTION("""COMPUTED_VALUE"""),"")</f>
        <v/>
      </c>
    </row>
    <row r="846" spans="1:8" ht="12.75">
      <c r="A846" s="36" t="str">
        <f ca="1">IFERROR(__xludf.DUMMYFUNCTION("""COMPUTED_VALUE"""),"")</f>
        <v/>
      </c>
      <c r="B846" s="37"/>
      <c r="C846" s="54" t="str">
        <f ca="1">IFERROR(__xludf.DUMMYFUNCTION("""COMPUTED_VALUE"""),"")</f>
        <v/>
      </c>
      <c r="D846" s="54" t="str">
        <f ca="1">IFERROR(__xludf.DUMMYFUNCTION("""COMPUTED_VALUE"""),"")</f>
        <v/>
      </c>
      <c r="E846" s="55" t="str">
        <f ca="1">IFERROR(__xludf.DUMMYFUNCTION("""COMPUTED_VALUE"""),"")</f>
        <v/>
      </c>
      <c r="F846" s="54" t="str">
        <f ca="1">IFERROR(__xludf.DUMMYFUNCTION("""COMPUTED_VALUE"""),"")</f>
        <v/>
      </c>
      <c r="G846" s="38" t="str">
        <f ca="1">IFERROR(__xludf.DUMMYFUNCTION("""COMPUTED_VALUE"""),"")</f>
        <v/>
      </c>
      <c r="H846" s="38" t="str">
        <f ca="1">IFERROR(__xludf.DUMMYFUNCTION("""COMPUTED_VALUE"""),"")</f>
        <v/>
      </c>
    </row>
    <row r="847" spans="1:8" ht="12.75">
      <c r="A847" s="36" t="str">
        <f ca="1">IFERROR(__xludf.DUMMYFUNCTION("""COMPUTED_VALUE"""),"")</f>
        <v/>
      </c>
      <c r="B847" s="37"/>
      <c r="C847" s="54" t="str">
        <f ca="1">IFERROR(__xludf.DUMMYFUNCTION("""COMPUTED_VALUE"""),"")</f>
        <v/>
      </c>
      <c r="D847" s="54" t="str">
        <f ca="1">IFERROR(__xludf.DUMMYFUNCTION("""COMPUTED_VALUE"""),"")</f>
        <v/>
      </c>
      <c r="E847" s="55" t="str">
        <f ca="1">IFERROR(__xludf.DUMMYFUNCTION("""COMPUTED_VALUE"""),"")</f>
        <v/>
      </c>
      <c r="F847" s="54" t="str">
        <f ca="1">IFERROR(__xludf.DUMMYFUNCTION("""COMPUTED_VALUE"""),"")</f>
        <v/>
      </c>
      <c r="G847" s="38" t="str">
        <f ca="1">IFERROR(__xludf.DUMMYFUNCTION("""COMPUTED_VALUE"""),"")</f>
        <v/>
      </c>
      <c r="H847" s="38" t="str">
        <f ca="1">IFERROR(__xludf.DUMMYFUNCTION("""COMPUTED_VALUE"""),"")</f>
        <v/>
      </c>
    </row>
    <row r="848" spans="1:8" ht="12.75">
      <c r="A848" s="36" t="str">
        <f ca="1">IFERROR(__xludf.DUMMYFUNCTION("""COMPUTED_VALUE"""),"")</f>
        <v/>
      </c>
      <c r="B848" s="37"/>
      <c r="C848" s="54" t="str">
        <f ca="1">IFERROR(__xludf.DUMMYFUNCTION("""COMPUTED_VALUE"""),"")</f>
        <v/>
      </c>
      <c r="D848" s="54" t="str">
        <f ca="1">IFERROR(__xludf.DUMMYFUNCTION("""COMPUTED_VALUE"""),"")</f>
        <v/>
      </c>
      <c r="E848" s="55" t="str">
        <f ca="1">IFERROR(__xludf.DUMMYFUNCTION("""COMPUTED_VALUE"""),"")</f>
        <v/>
      </c>
      <c r="F848" s="54" t="str">
        <f ca="1">IFERROR(__xludf.DUMMYFUNCTION("""COMPUTED_VALUE"""),"")</f>
        <v/>
      </c>
      <c r="G848" s="38" t="str">
        <f ca="1">IFERROR(__xludf.DUMMYFUNCTION("""COMPUTED_VALUE"""),"")</f>
        <v/>
      </c>
      <c r="H848" s="38" t="str">
        <f ca="1">IFERROR(__xludf.DUMMYFUNCTION("""COMPUTED_VALUE"""),"")</f>
        <v/>
      </c>
    </row>
    <row r="849" spans="1:8" ht="12.75">
      <c r="A849" s="36" t="str">
        <f ca="1">IFERROR(__xludf.DUMMYFUNCTION("""COMPUTED_VALUE"""),"")</f>
        <v/>
      </c>
      <c r="B849" s="37"/>
      <c r="C849" s="54" t="str">
        <f ca="1">IFERROR(__xludf.DUMMYFUNCTION("""COMPUTED_VALUE"""),"")</f>
        <v/>
      </c>
      <c r="D849" s="54" t="str">
        <f ca="1">IFERROR(__xludf.DUMMYFUNCTION("""COMPUTED_VALUE"""),"")</f>
        <v/>
      </c>
      <c r="E849" s="55" t="str">
        <f ca="1">IFERROR(__xludf.DUMMYFUNCTION("""COMPUTED_VALUE"""),"")</f>
        <v/>
      </c>
      <c r="F849" s="54" t="str">
        <f ca="1">IFERROR(__xludf.DUMMYFUNCTION("""COMPUTED_VALUE"""),"")</f>
        <v/>
      </c>
      <c r="G849" s="38" t="str">
        <f ca="1">IFERROR(__xludf.DUMMYFUNCTION("""COMPUTED_VALUE"""),"")</f>
        <v/>
      </c>
      <c r="H849" s="38" t="str">
        <f ca="1">IFERROR(__xludf.DUMMYFUNCTION("""COMPUTED_VALUE"""),"")</f>
        <v/>
      </c>
    </row>
    <row r="850" spans="1:8" ht="12.75">
      <c r="A850" s="36" t="str">
        <f ca="1">IFERROR(__xludf.DUMMYFUNCTION("""COMPUTED_VALUE"""),"")</f>
        <v/>
      </c>
      <c r="B850" s="37"/>
      <c r="C850" s="54" t="str">
        <f ca="1">IFERROR(__xludf.DUMMYFUNCTION("""COMPUTED_VALUE"""),"")</f>
        <v/>
      </c>
      <c r="D850" s="54" t="str">
        <f ca="1">IFERROR(__xludf.DUMMYFUNCTION("""COMPUTED_VALUE"""),"")</f>
        <v/>
      </c>
      <c r="E850" s="55" t="str">
        <f ca="1">IFERROR(__xludf.DUMMYFUNCTION("""COMPUTED_VALUE"""),"")</f>
        <v/>
      </c>
      <c r="F850" s="54" t="str">
        <f ca="1">IFERROR(__xludf.DUMMYFUNCTION("""COMPUTED_VALUE"""),"")</f>
        <v/>
      </c>
      <c r="G850" s="38" t="str">
        <f ca="1">IFERROR(__xludf.DUMMYFUNCTION("""COMPUTED_VALUE"""),"")</f>
        <v/>
      </c>
      <c r="H850" s="38" t="str">
        <f ca="1">IFERROR(__xludf.DUMMYFUNCTION("""COMPUTED_VALUE"""),"")</f>
        <v/>
      </c>
    </row>
    <row r="851" spans="1:8" ht="12.75">
      <c r="A851" s="36" t="str">
        <f ca="1">IFERROR(__xludf.DUMMYFUNCTION("""COMPUTED_VALUE"""),"")</f>
        <v/>
      </c>
      <c r="B851" s="37"/>
      <c r="C851" s="54" t="str">
        <f ca="1">IFERROR(__xludf.DUMMYFUNCTION("""COMPUTED_VALUE"""),"")</f>
        <v/>
      </c>
      <c r="D851" s="54" t="str">
        <f ca="1">IFERROR(__xludf.DUMMYFUNCTION("""COMPUTED_VALUE"""),"")</f>
        <v/>
      </c>
      <c r="E851" s="55" t="str">
        <f ca="1">IFERROR(__xludf.DUMMYFUNCTION("""COMPUTED_VALUE"""),"")</f>
        <v/>
      </c>
      <c r="F851" s="54" t="str">
        <f ca="1">IFERROR(__xludf.DUMMYFUNCTION("""COMPUTED_VALUE"""),"")</f>
        <v/>
      </c>
      <c r="G851" s="38" t="str">
        <f ca="1">IFERROR(__xludf.DUMMYFUNCTION("""COMPUTED_VALUE"""),"")</f>
        <v/>
      </c>
      <c r="H851" s="38" t="str">
        <f ca="1">IFERROR(__xludf.DUMMYFUNCTION("""COMPUTED_VALUE"""),"")</f>
        <v/>
      </c>
    </row>
    <row r="852" spans="1:8" ht="12.75">
      <c r="A852" s="36" t="str">
        <f ca="1">IFERROR(__xludf.DUMMYFUNCTION("""COMPUTED_VALUE"""),"")</f>
        <v/>
      </c>
      <c r="B852" s="37"/>
      <c r="C852" s="54" t="str">
        <f ca="1">IFERROR(__xludf.DUMMYFUNCTION("""COMPUTED_VALUE"""),"")</f>
        <v/>
      </c>
      <c r="D852" s="54" t="str">
        <f ca="1">IFERROR(__xludf.DUMMYFUNCTION("""COMPUTED_VALUE"""),"")</f>
        <v/>
      </c>
      <c r="E852" s="55" t="str">
        <f ca="1">IFERROR(__xludf.DUMMYFUNCTION("""COMPUTED_VALUE"""),"")</f>
        <v/>
      </c>
      <c r="F852" s="54" t="str">
        <f ca="1">IFERROR(__xludf.DUMMYFUNCTION("""COMPUTED_VALUE"""),"")</f>
        <v/>
      </c>
      <c r="G852" s="38" t="str">
        <f ca="1">IFERROR(__xludf.DUMMYFUNCTION("""COMPUTED_VALUE"""),"")</f>
        <v/>
      </c>
      <c r="H852" s="38" t="str">
        <f ca="1">IFERROR(__xludf.DUMMYFUNCTION("""COMPUTED_VALUE"""),"")</f>
        <v/>
      </c>
    </row>
    <row r="853" spans="1:8" ht="12.75">
      <c r="A853" s="36" t="str">
        <f ca="1">IFERROR(__xludf.DUMMYFUNCTION("""COMPUTED_VALUE"""),"")</f>
        <v/>
      </c>
      <c r="B853" s="37"/>
      <c r="C853" s="54" t="str">
        <f ca="1">IFERROR(__xludf.DUMMYFUNCTION("""COMPUTED_VALUE"""),"")</f>
        <v/>
      </c>
      <c r="D853" s="54" t="str">
        <f ca="1">IFERROR(__xludf.DUMMYFUNCTION("""COMPUTED_VALUE"""),"")</f>
        <v/>
      </c>
      <c r="E853" s="55" t="str">
        <f ca="1">IFERROR(__xludf.DUMMYFUNCTION("""COMPUTED_VALUE"""),"")</f>
        <v/>
      </c>
      <c r="F853" s="54" t="str">
        <f ca="1">IFERROR(__xludf.DUMMYFUNCTION("""COMPUTED_VALUE"""),"")</f>
        <v/>
      </c>
      <c r="G853" s="38" t="str">
        <f ca="1">IFERROR(__xludf.DUMMYFUNCTION("""COMPUTED_VALUE"""),"")</f>
        <v/>
      </c>
      <c r="H853" s="38" t="str">
        <f ca="1">IFERROR(__xludf.DUMMYFUNCTION("""COMPUTED_VALUE"""),"")</f>
        <v/>
      </c>
    </row>
    <row r="854" spans="1:8" ht="12.75">
      <c r="A854" s="36" t="str">
        <f ca="1">IFERROR(__xludf.DUMMYFUNCTION("""COMPUTED_VALUE"""),"")</f>
        <v/>
      </c>
      <c r="B854" s="37"/>
      <c r="C854" s="54" t="str">
        <f ca="1">IFERROR(__xludf.DUMMYFUNCTION("""COMPUTED_VALUE"""),"")</f>
        <v/>
      </c>
      <c r="D854" s="54" t="str">
        <f ca="1">IFERROR(__xludf.DUMMYFUNCTION("""COMPUTED_VALUE"""),"")</f>
        <v/>
      </c>
      <c r="E854" s="55" t="str">
        <f ca="1">IFERROR(__xludf.DUMMYFUNCTION("""COMPUTED_VALUE"""),"")</f>
        <v/>
      </c>
      <c r="F854" s="54" t="str">
        <f ca="1">IFERROR(__xludf.DUMMYFUNCTION("""COMPUTED_VALUE"""),"")</f>
        <v/>
      </c>
      <c r="G854" s="38" t="str">
        <f ca="1">IFERROR(__xludf.DUMMYFUNCTION("""COMPUTED_VALUE"""),"")</f>
        <v/>
      </c>
      <c r="H854" s="38" t="str">
        <f ca="1">IFERROR(__xludf.DUMMYFUNCTION("""COMPUTED_VALUE"""),"")</f>
        <v/>
      </c>
    </row>
    <row r="855" spans="1:8" ht="12.75">
      <c r="A855" s="36" t="str">
        <f ca="1">IFERROR(__xludf.DUMMYFUNCTION("""COMPUTED_VALUE"""),"")</f>
        <v/>
      </c>
      <c r="B855" s="37"/>
      <c r="C855" s="54" t="str">
        <f ca="1">IFERROR(__xludf.DUMMYFUNCTION("""COMPUTED_VALUE"""),"")</f>
        <v/>
      </c>
      <c r="D855" s="54" t="str">
        <f ca="1">IFERROR(__xludf.DUMMYFUNCTION("""COMPUTED_VALUE"""),"")</f>
        <v/>
      </c>
      <c r="E855" s="55" t="str">
        <f ca="1">IFERROR(__xludf.DUMMYFUNCTION("""COMPUTED_VALUE"""),"")</f>
        <v/>
      </c>
      <c r="F855" s="54" t="str">
        <f ca="1">IFERROR(__xludf.DUMMYFUNCTION("""COMPUTED_VALUE"""),"")</f>
        <v/>
      </c>
      <c r="G855" s="38" t="str">
        <f ca="1">IFERROR(__xludf.DUMMYFUNCTION("""COMPUTED_VALUE"""),"")</f>
        <v/>
      </c>
      <c r="H855" s="38" t="str">
        <f ca="1">IFERROR(__xludf.DUMMYFUNCTION("""COMPUTED_VALUE"""),"")</f>
        <v/>
      </c>
    </row>
    <row r="856" spans="1:8" ht="12.75">
      <c r="A856" s="36" t="str">
        <f ca="1">IFERROR(__xludf.DUMMYFUNCTION("""COMPUTED_VALUE"""),"")</f>
        <v/>
      </c>
      <c r="B856" s="37"/>
      <c r="C856" s="54" t="str">
        <f ca="1">IFERROR(__xludf.DUMMYFUNCTION("""COMPUTED_VALUE"""),"")</f>
        <v/>
      </c>
      <c r="D856" s="54" t="str">
        <f ca="1">IFERROR(__xludf.DUMMYFUNCTION("""COMPUTED_VALUE"""),"")</f>
        <v/>
      </c>
      <c r="E856" s="55" t="str">
        <f ca="1">IFERROR(__xludf.DUMMYFUNCTION("""COMPUTED_VALUE"""),"")</f>
        <v/>
      </c>
      <c r="F856" s="54" t="str">
        <f ca="1">IFERROR(__xludf.DUMMYFUNCTION("""COMPUTED_VALUE"""),"")</f>
        <v/>
      </c>
      <c r="G856" s="38" t="str">
        <f ca="1">IFERROR(__xludf.DUMMYFUNCTION("""COMPUTED_VALUE"""),"")</f>
        <v/>
      </c>
      <c r="H856" s="38" t="str">
        <f ca="1">IFERROR(__xludf.DUMMYFUNCTION("""COMPUTED_VALUE"""),"")</f>
        <v/>
      </c>
    </row>
    <row r="857" spans="1:8" ht="12.75">
      <c r="A857" s="36" t="str">
        <f ca="1">IFERROR(__xludf.DUMMYFUNCTION("""COMPUTED_VALUE"""),"")</f>
        <v/>
      </c>
      <c r="B857" s="37"/>
      <c r="C857" s="54" t="str">
        <f ca="1">IFERROR(__xludf.DUMMYFUNCTION("""COMPUTED_VALUE"""),"")</f>
        <v/>
      </c>
      <c r="D857" s="54" t="str">
        <f ca="1">IFERROR(__xludf.DUMMYFUNCTION("""COMPUTED_VALUE"""),"")</f>
        <v/>
      </c>
      <c r="E857" s="55" t="str">
        <f ca="1">IFERROR(__xludf.DUMMYFUNCTION("""COMPUTED_VALUE"""),"")</f>
        <v/>
      </c>
      <c r="F857" s="54" t="str">
        <f ca="1">IFERROR(__xludf.DUMMYFUNCTION("""COMPUTED_VALUE"""),"")</f>
        <v/>
      </c>
      <c r="G857" s="38" t="str">
        <f ca="1">IFERROR(__xludf.DUMMYFUNCTION("""COMPUTED_VALUE"""),"")</f>
        <v/>
      </c>
      <c r="H857" s="38" t="str">
        <f ca="1">IFERROR(__xludf.DUMMYFUNCTION("""COMPUTED_VALUE"""),"")</f>
        <v/>
      </c>
    </row>
    <row r="858" spans="1:8" ht="12.75">
      <c r="A858" s="36" t="str">
        <f ca="1">IFERROR(__xludf.DUMMYFUNCTION("""COMPUTED_VALUE"""),"")</f>
        <v/>
      </c>
      <c r="B858" s="37"/>
      <c r="C858" s="54" t="str">
        <f ca="1">IFERROR(__xludf.DUMMYFUNCTION("""COMPUTED_VALUE"""),"")</f>
        <v/>
      </c>
      <c r="D858" s="54" t="str">
        <f ca="1">IFERROR(__xludf.DUMMYFUNCTION("""COMPUTED_VALUE"""),"")</f>
        <v/>
      </c>
      <c r="E858" s="55" t="str">
        <f ca="1">IFERROR(__xludf.DUMMYFUNCTION("""COMPUTED_VALUE"""),"")</f>
        <v/>
      </c>
      <c r="F858" s="54" t="str">
        <f ca="1">IFERROR(__xludf.DUMMYFUNCTION("""COMPUTED_VALUE"""),"")</f>
        <v/>
      </c>
      <c r="G858" s="38" t="str">
        <f ca="1">IFERROR(__xludf.DUMMYFUNCTION("""COMPUTED_VALUE"""),"")</f>
        <v/>
      </c>
      <c r="H858" s="38" t="str">
        <f ca="1">IFERROR(__xludf.DUMMYFUNCTION("""COMPUTED_VALUE"""),"")</f>
        <v/>
      </c>
    </row>
    <row r="859" spans="1:8" ht="12.75">
      <c r="A859" s="36" t="str">
        <f ca="1">IFERROR(__xludf.DUMMYFUNCTION("""COMPUTED_VALUE"""),"")</f>
        <v/>
      </c>
      <c r="B859" s="37"/>
      <c r="C859" s="54" t="str">
        <f ca="1">IFERROR(__xludf.DUMMYFUNCTION("""COMPUTED_VALUE"""),"")</f>
        <v/>
      </c>
      <c r="D859" s="54" t="str">
        <f ca="1">IFERROR(__xludf.DUMMYFUNCTION("""COMPUTED_VALUE"""),"")</f>
        <v/>
      </c>
      <c r="E859" s="55" t="str">
        <f ca="1">IFERROR(__xludf.DUMMYFUNCTION("""COMPUTED_VALUE"""),"")</f>
        <v/>
      </c>
      <c r="F859" s="54" t="str">
        <f ca="1">IFERROR(__xludf.DUMMYFUNCTION("""COMPUTED_VALUE"""),"")</f>
        <v/>
      </c>
      <c r="G859" s="38" t="str">
        <f ca="1">IFERROR(__xludf.DUMMYFUNCTION("""COMPUTED_VALUE"""),"")</f>
        <v/>
      </c>
      <c r="H859" s="38" t="str">
        <f ca="1">IFERROR(__xludf.DUMMYFUNCTION("""COMPUTED_VALUE"""),"")</f>
        <v/>
      </c>
    </row>
    <row r="860" spans="1:8" ht="12.75">
      <c r="A860" s="36" t="str">
        <f ca="1">IFERROR(__xludf.DUMMYFUNCTION("""COMPUTED_VALUE"""),"")</f>
        <v/>
      </c>
      <c r="B860" s="37"/>
      <c r="C860" s="54" t="str">
        <f ca="1">IFERROR(__xludf.DUMMYFUNCTION("""COMPUTED_VALUE"""),"")</f>
        <v/>
      </c>
      <c r="D860" s="54" t="str">
        <f ca="1">IFERROR(__xludf.DUMMYFUNCTION("""COMPUTED_VALUE"""),"")</f>
        <v/>
      </c>
      <c r="E860" s="55" t="str">
        <f ca="1">IFERROR(__xludf.DUMMYFUNCTION("""COMPUTED_VALUE"""),"")</f>
        <v/>
      </c>
      <c r="F860" s="54" t="str">
        <f ca="1">IFERROR(__xludf.DUMMYFUNCTION("""COMPUTED_VALUE"""),"")</f>
        <v/>
      </c>
      <c r="G860" s="38" t="str">
        <f ca="1">IFERROR(__xludf.DUMMYFUNCTION("""COMPUTED_VALUE"""),"")</f>
        <v/>
      </c>
      <c r="H860" s="38" t="str">
        <f ca="1">IFERROR(__xludf.DUMMYFUNCTION("""COMPUTED_VALUE"""),"")</f>
        <v/>
      </c>
    </row>
    <row r="861" spans="1:8" ht="12.75">
      <c r="A861" s="36" t="str">
        <f ca="1">IFERROR(__xludf.DUMMYFUNCTION("""COMPUTED_VALUE"""),"")</f>
        <v/>
      </c>
      <c r="B861" s="37"/>
      <c r="C861" s="54" t="str">
        <f ca="1">IFERROR(__xludf.DUMMYFUNCTION("""COMPUTED_VALUE"""),"")</f>
        <v/>
      </c>
      <c r="D861" s="54" t="str">
        <f ca="1">IFERROR(__xludf.DUMMYFUNCTION("""COMPUTED_VALUE"""),"")</f>
        <v/>
      </c>
      <c r="E861" s="55" t="str">
        <f ca="1">IFERROR(__xludf.DUMMYFUNCTION("""COMPUTED_VALUE"""),"")</f>
        <v/>
      </c>
      <c r="F861" s="54" t="str">
        <f ca="1">IFERROR(__xludf.DUMMYFUNCTION("""COMPUTED_VALUE"""),"")</f>
        <v/>
      </c>
      <c r="G861" s="38" t="str">
        <f ca="1">IFERROR(__xludf.DUMMYFUNCTION("""COMPUTED_VALUE"""),"")</f>
        <v/>
      </c>
      <c r="H861" s="38" t="str">
        <f ca="1">IFERROR(__xludf.DUMMYFUNCTION("""COMPUTED_VALUE"""),"")</f>
        <v/>
      </c>
    </row>
    <row r="862" spans="1:8" ht="12.75">
      <c r="A862" s="36" t="str">
        <f ca="1">IFERROR(__xludf.DUMMYFUNCTION("""COMPUTED_VALUE"""),"")</f>
        <v/>
      </c>
      <c r="B862" s="37"/>
      <c r="C862" s="54" t="str">
        <f ca="1">IFERROR(__xludf.DUMMYFUNCTION("""COMPUTED_VALUE"""),"")</f>
        <v/>
      </c>
      <c r="D862" s="54" t="str">
        <f ca="1">IFERROR(__xludf.DUMMYFUNCTION("""COMPUTED_VALUE"""),"")</f>
        <v/>
      </c>
      <c r="E862" s="55" t="str">
        <f ca="1">IFERROR(__xludf.DUMMYFUNCTION("""COMPUTED_VALUE"""),"")</f>
        <v/>
      </c>
      <c r="F862" s="54" t="str">
        <f ca="1">IFERROR(__xludf.DUMMYFUNCTION("""COMPUTED_VALUE"""),"")</f>
        <v/>
      </c>
      <c r="G862" s="38" t="str">
        <f ca="1">IFERROR(__xludf.DUMMYFUNCTION("""COMPUTED_VALUE"""),"")</f>
        <v/>
      </c>
      <c r="H862" s="38" t="str">
        <f ca="1">IFERROR(__xludf.DUMMYFUNCTION("""COMPUTED_VALUE"""),"")</f>
        <v/>
      </c>
    </row>
    <row r="863" spans="1:8" ht="12.75">
      <c r="A863" s="36" t="str">
        <f ca="1">IFERROR(__xludf.DUMMYFUNCTION("""COMPUTED_VALUE"""),"")</f>
        <v/>
      </c>
      <c r="B863" s="37"/>
      <c r="C863" s="54" t="str">
        <f ca="1">IFERROR(__xludf.DUMMYFUNCTION("""COMPUTED_VALUE"""),"")</f>
        <v/>
      </c>
      <c r="D863" s="54" t="str">
        <f ca="1">IFERROR(__xludf.DUMMYFUNCTION("""COMPUTED_VALUE"""),"")</f>
        <v/>
      </c>
      <c r="E863" s="55" t="str">
        <f ca="1">IFERROR(__xludf.DUMMYFUNCTION("""COMPUTED_VALUE"""),"")</f>
        <v/>
      </c>
      <c r="F863" s="54" t="str">
        <f ca="1">IFERROR(__xludf.DUMMYFUNCTION("""COMPUTED_VALUE"""),"")</f>
        <v/>
      </c>
      <c r="G863" s="38" t="str">
        <f ca="1">IFERROR(__xludf.DUMMYFUNCTION("""COMPUTED_VALUE"""),"")</f>
        <v/>
      </c>
      <c r="H863" s="38" t="str">
        <f ca="1">IFERROR(__xludf.DUMMYFUNCTION("""COMPUTED_VALUE"""),"")</f>
        <v/>
      </c>
    </row>
    <row r="864" spans="1:8" ht="12.75">
      <c r="A864" s="36" t="str">
        <f ca="1">IFERROR(__xludf.DUMMYFUNCTION("""COMPUTED_VALUE"""),"")</f>
        <v/>
      </c>
      <c r="B864" s="37"/>
      <c r="C864" s="54" t="str">
        <f ca="1">IFERROR(__xludf.DUMMYFUNCTION("""COMPUTED_VALUE"""),"")</f>
        <v/>
      </c>
      <c r="D864" s="54" t="str">
        <f ca="1">IFERROR(__xludf.DUMMYFUNCTION("""COMPUTED_VALUE"""),"")</f>
        <v/>
      </c>
      <c r="E864" s="55" t="str">
        <f ca="1">IFERROR(__xludf.DUMMYFUNCTION("""COMPUTED_VALUE"""),"")</f>
        <v/>
      </c>
      <c r="F864" s="54" t="str">
        <f ca="1">IFERROR(__xludf.DUMMYFUNCTION("""COMPUTED_VALUE"""),"")</f>
        <v/>
      </c>
      <c r="G864" s="38" t="str">
        <f ca="1">IFERROR(__xludf.DUMMYFUNCTION("""COMPUTED_VALUE"""),"")</f>
        <v/>
      </c>
      <c r="H864" s="38" t="str">
        <f ca="1">IFERROR(__xludf.DUMMYFUNCTION("""COMPUTED_VALUE"""),"")</f>
        <v/>
      </c>
    </row>
    <row r="865" spans="1:8" ht="12.75">
      <c r="A865" s="36" t="str">
        <f ca="1">IFERROR(__xludf.DUMMYFUNCTION("""COMPUTED_VALUE"""),"")</f>
        <v/>
      </c>
      <c r="B865" s="37"/>
      <c r="C865" s="54" t="str">
        <f ca="1">IFERROR(__xludf.DUMMYFUNCTION("""COMPUTED_VALUE"""),"")</f>
        <v/>
      </c>
      <c r="D865" s="54" t="str">
        <f ca="1">IFERROR(__xludf.DUMMYFUNCTION("""COMPUTED_VALUE"""),"")</f>
        <v/>
      </c>
      <c r="E865" s="55" t="str">
        <f ca="1">IFERROR(__xludf.DUMMYFUNCTION("""COMPUTED_VALUE"""),"")</f>
        <v/>
      </c>
      <c r="F865" s="54" t="str">
        <f ca="1">IFERROR(__xludf.DUMMYFUNCTION("""COMPUTED_VALUE"""),"")</f>
        <v/>
      </c>
      <c r="G865" s="38" t="str">
        <f ca="1">IFERROR(__xludf.DUMMYFUNCTION("""COMPUTED_VALUE"""),"")</f>
        <v/>
      </c>
      <c r="H865" s="38" t="str">
        <f ca="1">IFERROR(__xludf.DUMMYFUNCTION("""COMPUTED_VALUE"""),"")</f>
        <v/>
      </c>
    </row>
    <row r="866" spans="1:8" ht="12.75">
      <c r="A866" s="36" t="str">
        <f ca="1">IFERROR(__xludf.DUMMYFUNCTION("""COMPUTED_VALUE"""),"")</f>
        <v/>
      </c>
      <c r="B866" s="37"/>
      <c r="C866" s="54" t="str">
        <f ca="1">IFERROR(__xludf.DUMMYFUNCTION("""COMPUTED_VALUE"""),"")</f>
        <v/>
      </c>
      <c r="D866" s="54" t="str">
        <f ca="1">IFERROR(__xludf.DUMMYFUNCTION("""COMPUTED_VALUE"""),"")</f>
        <v/>
      </c>
      <c r="E866" s="55" t="str">
        <f ca="1">IFERROR(__xludf.DUMMYFUNCTION("""COMPUTED_VALUE"""),"")</f>
        <v/>
      </c>
      <c r="F866" s="54" t="str">
        <f ca="1">IFERROR(__xludf.DUMMYFUNCTION("""COMPUTED_VALUE"""),"")</f>
        <v/>
      </c>
      <c r="G866" s="38" t="str">
        <f ca="1">IFERROR(__xludf.DUMMYFUNCTION("""COMPUTED_VALUE"""),"")</f>
        <v/>
      </c>
      <c r="H866" s="38" t="str">
        <f ca="1">IFERROR(__xludf.DUMMYFUNCTION("""COMPUTED_VALUE"""),"")</f>
        <v/>
      </c>
    </row>
    <row r="867" spans="1:8" ht="12.75">
      <c r="A867" s="36" t="str">
        <f ca="1">IFERROR(__xludf.DUMMYFUNCTION("""COMPUTED_VALUE"""),"")</f>
        <v/>
      </c>
      <c r="B867" s="37"/>
      <c r="C867" s="54" t="str">
        <f ca="1">IFERROR(__xludf.DUMMYFUNCTION("""COMPUTED_VALUE"""),"")</f>
        <v/>
      </c>
      <c r="D867" s="54" t="str">
        <f ca="1">IFERROR(__xludf.DUMMYFUNCTION("""COMPUTED_VALUE"""),"")</f>
        <v/>
      </c>
      <c r="E867" s="55" t="str">
        <f ca="1">IFERROR(__xludf.DUMMYFUNCTION("""COMPUTED_VALUE"""),"")</f>
        <v/>
      </c>
      <c r="F867" s="54" t="str">
        <f ca="1">IFERROR(__xludf.DUMMYFUNCTION("""COMPUTED_VALUE"""),"")</f>
        <v/>
      </c>
      <c r="G867" s="38" t="str">
        <f ca="1">IFERROR(__xludf.DUMMYFUNCTION("""COMPUTED_VALUE"""),"")</f>
        <v/>
      </c>
      <c r="H867" s="38" t="str">
        <f ca="1">IFERROR(__xludf.DUMMYFUNCTION("""COMPUTED_VALUE"""),"")</f>
        <v/>
      </c>
    </row>
    <row r="868" spans="1:8" ht="12.75">
      <c r="A868" s="36" t="str">
        <f ca="1">IFERROR(__xludf.DUMMYFUNCTION("""COMPUTED_VALUE"""),"")</f>
        <v/>
      </c>
      <c r="B868" s="37"/>
      <c r="C868" s="54" t="str">
        <f ca="1">IFERROR(__xludf.DUMMYFUNCTION("""COMPUTED_VALUE"""),"")</f>
        <v/>
      </c>
      <c r="D868" s="54" t="str">
        <f ca="1">IFERROR(__xludf.DUMMYFUNCTION("""COMPUTED_VALUE"""),"")</f>
        <v/>
      </c>
      <c r="E868" s="55" t="str">
        <f ca="1">IFERROR(__xludf.DUMMYFUNCTION("""COMPUTED_VALUE"""),"")</f>
        <v/>
      </c>
      <c r="F868" s="54" t="str">
        <f ca="1">IFERROR(__xludf.DUMMYFUNCTION("""COMPUTED_VALUE"""),"")</f>
        <v/>
      </c>
      <c r="G868" s="38" t="str">
        <f ca="1">IFERROR(__xludf.DUMMYFUNCTION("""COMPUTED_VALUE"""),"")</f>
        <v/>
      </c>
      <c r="H868" s="38" t="str">
        <f ca="1">IFERROR(__xludf.DUMMYFUNCTION("""COMPUTED_VALUE"""),"")</f>
        <v/>
      </c>
    </row>
    <row r="869" spans="1:8" ht="12.75">
      <c r="A869" s="36" t="str">
        <f ca="1">IFERROR(__xludf.DUMMYFUNCTION("""COMPUTED_VALUE"""),"")</f>
        <v/>
      </c>
      <c r="B869" s="37"/>
      <c r="C869" s="54" t="str">
        <f ca="1">IFERROR(__xludf.DUMMYFUNCTION("""COMPUTED_VALUE"""),"")</f>
        <v/>
      </c>
      <c r="D869" s="54" t="str">
        <f ca="1">IFERROR(__xludf.DUMMYFUNCTION("""COMPUTED_VALUE"""),"")</f>
        <v/>
      </c>
      <c r="E869" s="55" t="str">
        <f ca="1">IFERROR(__xludf.DUMMYFUNCTION("""COMPUTED_VALUE"""),"")</f>
        <v/>
      </c>
      <c r="F869" s="54" t="str">
        <f ca="1">IFERROR(__xludf.DUMMYFUNCTION("""COMPUTED_VALUE"""),"")</f>
        <v/>
      </c>
      <c r="G869" s="38" t="str">
        <f ca="1">IFERROR(__xludf.DUMMYFUNCTION("""COMPUTED_VALUE"""),"")</f>
        <v/>
      </c>
      <c r="H869" s="38" t="str">
        <f ca="1">IFERROR(__xludf.DUMMYFUNCTION("""COMPUTED_VALUE"""),"")</f>
        <v/>
      </c>
    </row>
    <row r="870" spans="1:8" ht="12.75">
      <c r="A870" s="36" t="str">
        <f ca="1">IFERROR(__xludf.DUMMYFUNCTION("""COMPUTED_VALUE"""),"")</f>
        <v/>
      </c>
      <c r="B870" s="37"/>
      <c r="C870" s="54" t="str">
        <f ca="1">IFERROR(__xludf.DUMMYFUNCTION("""COMPUTED_VALUE"""),"")</f>
        <v/>
      </c>
      <c r="D870" s="54" t="str">
        <f ca="1">IFERROR(__xludf.DUMMYFUNCTION("""COMPUTED_VALUE"""),"")</f>
        <v/>
      </c>
      <c r="E870" s="55" t="str">
        <f ca="1">IFERROR(__xludf.DUMMYFUNCTION("""COMPUTED_VALUE"""),"")</f>
        <v/>
      </c>
      <c r="F870" s="54" t="str">
        <f ca="1">IFERROR(__xludf.DUMMYFUNCTION("""COMPUTED_VALUE"""),"")</f>
        <v/>
      </c>
      <c r="G870" s="38" t="str">
        <f ca="1">IFERROR(__xludf.DUMMYFUNCTION("""COMPUTED_VALUE"""),"")</f>
        <v/>
      </c>
      <c r="H870" s="38" t="str">
        <f ca="1">IFERROR(__xludf.DUMMYFUNCTION("""COMPUTED_VALUE"""),"")</f>
        <v/>
      </c>
    </row>
    <row r="871" spans="1:8" ht="12.75">
      <c r="A871" s="36" t="str">
        <f ca="1">IFERROR(__xludf.DUMMYFUNCTION("""COMPUTED_VALUE"""),"")</f>
        <v/>
      </c>
      <c r="B871" s="37"/>
      <c r="C871" s="54" t="str">
        <f ca="1">IFERROR(__xludf.DUMMYFUNCTION("""COMPUTED_VALUE"""),"")</f>
        <v/>
      </c>
      <c r="D871" s="54" t="str">
        <f ca="1">IFERROR(__xludf.DUMMYFUNCTION("""COMPUTED_VALUE"""),"")</f>
        <v/>
      </c>
      <c r="E871" s="55" t="str">
        <f ca="1">IFERROR(__xludf.DUMMYFUNCTION("""COMPUTED_VALUE"""),"")</f>
        <v/>
      </c>
      <c r="F871" s="54" t="str">
        <f ca="1">IFERROR(__xludf.DUMMYFUNCTION("""COMPUTED_VALUE"""),"")</f>
        <v/>
      </c>
      <c r="G871" s="38" t="str">
        <f ca="1">IFERROR(__xludf.DUMMYFUNCTION("""COMPUTED_VALUE"""),"")</f>
        <v/>
      </c>
      <c r="H871" s="38" t="str">
        <f ca="1">IFERROR(__xludf.DUMMYFUNCTION("""COMPUTED_VALUE"""),"")</f>
        <v/>
      </c>
    </row>
    <row r="872" spans="1:8" ht="12.75">
      <c r="A872" s="36" t="str">
        <f ca="1">IFERROR(__xludf.DUMMYFUNCTION("""COMPUTED_VALUE"""),"")</f>
        <v/>
      </c>
      <c r="B872" s="37"/>
      <c r="C872" s="54" t="str">
        <f ca="1">IFERROR(__xludf.DUMMYFUNCTION("""COMPUTED_VALUE"""),"")</f>
        <v/>
      </c>
      <c r="D872" s="54" t="str">
        <f ca="1">IFERROR(__xludf.DUMMYFUNCTION("""COMPUTED_VALUE"""),"")</f>
        <v/>
      </c>
      <c r="E872" s="55" t="str">
        <f ca="1">IFERROR(__xludf.DUMMYFUNCTION("""COMPUTED_VALUE"""),"")</f>
        <v/>
      </c>
      <c r="F872" s="54" t="str">
        <f ca="1">IFERROR(__xludf.DUMMYFUNCTION("""COMPUTED_VALUE"""),"")</f>
        <v/>
      </c>
      <c r="G872" s="38" t="str">
        <f ca="1">IFERROR(__xludf.DUMMYFUNCTION("""COMPUTED_VALUE"""),"")</f>
        <v/>
      </c>
      <c r="H872" s="38" t="str">
        <f ca="1">IFERROR(__xludf.DUMMYFUNCTION("""COMPUTED_VALUE"""),"")</f>
        <v/>
      </c>
    </row>
    <row r="873" spans="1:8" ht="12.75">
      <c r="A873" s="36" t="str">
        <f ca="1">IFERROR(__xludf.DUMMYFUNCTION("""COMPUTED_VALUE"""),"")</f>
        <v/>
      </c>
      <c r="B873" s="37"/>
      <c r="C873" s="54" t="str">
        <f ca="1">IFERROR(__xludf.DUMMYFUNCTION("""COMPUTED_VALUE"""),"")</f>
        <v/>
      </c>
      <c r="D873" s="54" t="str">
        <f ca="1">IFERROR(__xludf.DUMMYFUNCTION("""COMPUTED_VALUE"""),"")</f>
        <v/>
      </c>
      <c r="E873" s="55" t="str">
        <f ca="1">IFERROR(__xludf.DUMMYFUNCTION("""COMPUTED_VALUE"""),"")</f>
        <v/>
      </c>
      <c r="F873" s="54" t="str">
        <f ca="1">IFERROR(__xludf.DUMMYFUNCTION("""COMPUTED_VALUE"""),"")</f>
        <v/>
      </c>
      <c r="G873" s="38" t="str">
        <f ca="1">IFERROR(__xludf.DUMMYFUNCTION("""COMPUTED_VALUE"""),"")</f>
        <v/>
      </c>
      <c r="H873" s="38" t="str">
        <f ca="1">IFERROR(__xludf.DUMMYFUNCTION("""COMPUTED_VALUE"""),"")</f>
        <v/>
      </c>
    </row>
    <row r="874" spans="1:8" ht="12.75">
      <c r="A874" s="36" t="str">
        <f ca="1">IFERROR(__xludf.DUMMYFUNCTION("""COMPUTED_VALUE"""),"")</f>
        <v/>
      </c>
      <c r="B874" s="37"/>
      <c r="C874" s="54" t="str">
        <f ca="1">IFERROR(__xludf.DUMMYFUNCTION("""COMPUTED_VALUE"""),"")</f>
        <v/>
      </c>
      <c r="D874" s="54" t="str">
        <f ca="1">IFERROR(__xludf.DUMMYFUNCTION("""COMPUTED_VALUE"""),"")</f>
        <v/>
      </c>
      <c r="E874" s="55" t="str">
        <f ca="1">IFERROR(__xludf.DUMMYFUNCTION("""COMPUTED_VALUE"""),"")</f>
        <v/>
      </c>
      <c r="F874" s="54" t="str">
        <f ca="1">IFERROR(__xludf.DUMMYFUNCTION("""COMPUTED_VALUE"""),"")</f>
        <v/>
      </c>
      <c r="G874" s="38" t="str">
        <f ca="1">IFERROR(__xludf.DUMMYFUNCTION("""COMPUTED_VALUE"""),"")</f>
        <v/>
      </c>
      <c r="H874" s="38" t="str">
        <f ca="1">IFERROR(__xludf.DUMMYFUNCTION("""COMPUTED_VALUE"""),"")</f>
        <v/>
      </c>
    </row>
    <row r="875" spans="1:8" ht="12.75">
      <c r="A875" s="36" t="str">
        <f ca="1">IFERROR(__xludf.DUMMYFUNCTION("""COMPUTED_VALUE"""),"")</f>
        <v/>
      </c>
      <c r="B875" s="37"/>
      <c r="C875" s="54" t="str">
        <f ca="1">IFERROR(__xludf.DUMMYFUNCTION("""COMPUTED_VALUE"""),"")</f>
        <v/>
      </c>
      <c r="D875" s="54" t="str">
        <f ca="1">IFERROR(__xludf.DUMMYFUNCTION("""COMPUTED_VALUE"""),"")</f>
        <v/>
      </c>
      <c r="E875" s="55" t="str">
        <f ca="1">IFERROR(__xludf.DUMMYFUNCTION("""COMPUTED_VALUE"""),"")</f>
        <v/>
      </c>
      <c r="F875" s="54" t="str">
        <f ca="1">IFERROR(__xludf.DUMMYFUNCTION("""COMPUTED_VALUE"""),"")</f>
        <v/>
      </c>
      <c r="G875" s="38" t="str">
        <f ca="1">IFERROR(__xludf.DUMMYFUNCTION("""COMPUTED_VALUE"""),"")</f>
        <v/>
      </c>
      <c r="H875" s="38" t="str">
        <f ca="1">IFERROR(__xludf.DUMMYFUNCTION("""COMPUTED_VALUE"""),"")</f>
        <v/>
      </c>
    </row>
    <row r="876" spans="1:8" ht="12.75">
      <c r="A876" s="36" t="str">
        <f ca="1">IFERROR(__xludf.DUMMYFUNCTION("""COMPUTED_VALUE"""),"")</f>
        <v/>
      </c>
      <c r="B876" s="37"/>
      <c r="C876" s="54" t="str">
        <f ca="1">IFERROR(__xludf.DUMMYFUNCTION("""COMPUTED_VALUE"""),"")</f>
        <v/>
      </c>
      <c r="D876" s="54" t="str">
        <f ca="1">IFERROR(__xludf.DUMMYFUNCTION("""COMPUTED_VALUE"""),"")</f>
        <v/>
      </c>
      <c r="E876" s="55" t="str">
        <f ca="1">IFERROR(__xludf.DUMMYFUNCTION("""COMPUTED_VALUE"""),"")</f>
        <v/>
      </c>
      <c r="F876" s="54" t="str">
        <f ca="1">IFERROR(__xludf.DUMMYFUNCTION("""COMPUTED_VALUE"""),"")</f>
        <v/>
      </c>
      <c r="G876" s="38" t="str">
        <f ca="1">IFERROR(__xludf.DUMMYFUNCTION("""COMPUTED_VALUE"""),"")</f>
        <v/>
      </c>
      <c r="H876" s="38" t="str">
        <f ca="1">IFERROR(__xludf.DUMMYFUNCTION("""COMPUTED_VALUE"""),"")</f>
        <v/>
      </c>
    </row>
    <row r="877" spans="1:8" ht="12.75">
      <c r="A877" s="36" t="str">
        <f ca="1">IFERROR(__xludf.DUMMYFUNCTION("""COMPUTED_VALUE"""),"")</f>
        <v/>
      </c>
      <c r="B877" s="37"/>
      <c r="C877" s="54" t="str">
        <f ca="1">IFERROR(__xludf.DUMMYFUNCTION("""COMPUTED_VALUE"""),"")</f>
        <v/>
      </c>
      <c r="D877" s="54" t="str">
        <f ca="1">IFERROR(__xludf.DUMMYFUNCTION("""COMPUTED_VALUE"""),"")</f>
        <v/>
      </c>
      <c r="E877" s="55" t="str">
        <f ca="1">IFERROR(__xludf.DUMMYFUNCTION("""COMPUTED_VALUE"""),"")</f>
        <v/>
      </c>
      <c r="F877" s="54" t="str">
        <f ca="1">IFERROR(__xludf.DUMMYFUNCTION("""COMPUTED_VALUE"""),"")</f>
        <v/>
      </c>
      <c r="G877" s="38" t="str">
        <f ca="1">IFERROR(__xludf.DUMMYFUNCTION("""COMPUTED_VALUE"""),"")</f>
        <v/>
      </c>
      <c r="H877" s="38" t="str">
        <f ca="1">IFERROR(__xludf.DUMMYFUNCTION("""COMPUTED_VALUE"""),"")</f>
        <v/>
      </c>
    </row>
    <row r="878" spans="1:8" ht="12.75">
      <c r="A878" s="36" t="str">
        <f ca="1">IFERROR(__xludf.DUMMYFUNCTION("""COMPUTED_VALUE"""),"")</f>
        <v/>
      </c>
      <c r="B878" s="37"/>
      <c r="C878" s="54" t="str">
        <f ca="1">IFERROR(__xludf.DUMMYFUNCTION("""COMPUTED_VALUE"""),"")</f>
        <v/>
      </c>
      <c r="D878" s="54" t="str">
        <f ca="1">IFERROR(__xludf.DUMMYFUNCTION("""COMPUTED_VALUE"""),"")</f>
        <v/>
      </c>
      <c r="E878" s="55" t="str">
        <f ca="1">IFERROR(__xludf.DUMMYFUNCTION("""COMPUTED_VALUE"""),"")</f>
        <v/>
      </c>
      <c r="F878" s="54" t="str">
        <f ca="1">IFERROR(__xludf.DUMMYFUNCTION("""COMPUTED_VALUE"""),"")</f>
        <v/>
      </c>
      <c r="G878" s="38" t="str">
        <f ca="1">IFERROR(__xludf.DUMMYFUNCTION("""COMPUTED_VALUE"""),"")</f>
        <v/>
      </c>
      <c r="H878" s="38" t="str">
        <f ca="1">IFERROR(__xludf.DUMMYFUNCTION("""COMPUTED_VALUE"""),"")</f>
        <v/>
      </c>
    </row>
    <row r="879" spans="1:8" ht="12.75">
      <c r="A879" s="36" t="str">
        <f ca="1">IFERROR(__xludf.DUMMYFUNCTION("""COMPUTED_VALUE"""),"")</f>
        <v/>
      </c>
      <c r="B879" s="37"/>
      <c r="C879" s="54" t="str">
        <f ca="1">IFERROR(__xludf.DUMMYFUNCTION("""COMPUTED_VALUE"""),"")</f>
        <v/>
      </c>
      <c r="D879" s="54" t="str">
        <f ca="1">IFERROR(__xludf.DUMMYFUNCTION("""COMPUTED_VALUE"""),"")</f>
        <v/>
      </c>
      <c r="E879" s="55" t="str">
        <f ca="1">IFERROR(__xludf.DUMMYFUNCTION("""COMPUTED_VALUE"""),"")</f>
        <v/>
      </c>
      <c r="F879" s="54" t="str">
        <f ca="1">IFERROR(__xludf.DUMMYFUNCTION("""COMPUTED_VALUE"""),"")</f>
        <v/>
      </c>
      <c r="G879" s="38" t="str">
        <f ca="1">IFERROR(__xludf.DUMMYFUNCTION("""COMPUTED_VALUE"""),"")</f>
        <v/>
      </c>
      <c r="H879" s="38" t="str">
        <f ca="1">IFERROR(__xludf.DUMMYFUNCTION("""COMPUTED_VALUE"""),"")</f>
        <v/>
      </c>
    </row>
    <row r="880" spans="1:8" ht="12.75">
      <c r="A880" s="36" t="str">
        <f ca="1">IFERROR(__xludf.DUMMYFUNCTION("""COMPUTED_VALUE"""),"")</f>
        <v/>
      </c>
      <c r="B880" s="37"/>
      <c r="C880" s="54" t="str">
        <f ca="1">IFERROR(__xludf.DUMMYFUNCTION("""COMPUTED_VALUE"""),"")</f>
        <v/>
      </c>
      <c r="D880" s="54" t="str">
        <f ca="1">IFERROR(__xludf.DUMMYFUNCTION("""COMPUTED_VALUE"""),"")</f>
        <v/>
      </c>
      <c r="E880" s="55" t="str">
        <f ca="1">IFERROR(__xludf.DUMMYFUNCTION("""COMPUTED_VALUE"""),"")</f>
        <v/>
      </c>
      <c r="F880" s="54" t="str">
        <f ca="1">IFERROR(__xludf.DUMMYFUNCTION("""COMPUTED_VALUE"""),"")</f>
        <v/>
      </c>
      <c r="G880" s="38" t="str">
        <f ca="1">IFERROR(__xludf.DUMMYFUNCTION("""COMPUTED_VALUE"""),"")</f>
        <v/>
      </c>
      <c r="H880" s="38" t="str">
        <f ca="1">IFERROR(__xludf.DUMMYFUNCTION("""COMPUTED_VALUE"""),"")</f>
        <v/>
      </c>
    </row>
    <row r="881" spans="1:8" ht="12.75">
      <c r="A881" s="36" t="str">
        <f ca="1">IFERROR(__xludf.DUMMYFUNCTION("""COMPUTED_VALUE"""),"")</f>
        <v/>
      </c>
      <c r="B881" s="37"/>
      <c r="C881" s="54" t="str">
        <f ca="1">IFERROR(__xludf.DUMMYFUNCTION("""COMPUTED_VALUE"""),"")</f>
        <v/>
      </c>
      <c r="D881" s="54" t="str">
        <f ca="1">IFERROR(__xludf.DUMMYFUNCTION("""COMPUTED_VALUE"""),"")</f>
        <v/>
      </c>
      <c r="E881" s="55" t="str">
        <f ca="1">IFERROR(__xludf.DUMMYFUNCTION("""COMPUTED_VALUE"""),"")</f>
        <v/>
      </c>
      <c r="F881" s="54" t="str">
        <f ca="1">IFERROR(__xludf.DUMMYFUNCTION("""COMPUTED_VALUE"""),"")</f>
        <v/>
      </c>
      <c r="G881" s="38" t="str">
        <f ca="1">IFERROR(__xludf.DUMMYFUNCTION("""COMPUTED_VALUE"""),"")</f>
        <v/>
      </c>
      <c r="H881" s="38" t="str">
        <f ca="1">IFERROR(__xludf.DUMMYFUNCTION("""COMPUTED_VALUE"""),"")</f>
        <v/>
      </c>
    </row>
    <row r="882" spans="1:8" ht="12.75">
      <c r="A882" s="36" t="str">
        <f ca="1">IFERROR(__xludf.DUMMYFUNCTION("""COMPUTED_VALUE"""),"")</f>
        <v/>
      </c>
      <c r="B882" s="37"/>
      <c r="C882" s="54" t="str">
        <f ca="1">IFERROR(__xludf.DUMMYFUNCTION("""COMPUTED_VALUE"""),"")</f>
        <v/>
      </c>
      <c r="D882" s="54" t="str">
        <f ca="1">IFERROR(__xludf.DUMMYFUNCTION("""COMPUTED_VALUE"""),"")</f>
        <v/>
      </c>
      <c r="E882" s="55" t="str">
        <f ca="1">IFERROR(__xludf.DUMMYFUNCTION("""COMPUTED_VALUE"""),"")</f>
        <v/>
      </c>
      <c r="F882" s="54" t="str">
        <f ca="1">IFERROR(__xludf.DUMMYFUNCTION("""COMPUTED_VALUE"""),"")</f>
        <v/>
      </c>
      <c r="G882" s="38" t="str">
        <f ca="1">IFERROR(__xludf.DUMMYFUNCTION("""COMPUTED_VALUE"""),"")</f>
        <v/>
      </c>
      <c r="H882" s="38" t="str">
        <f ca="1">IFERROR(__xludf.DUMMYFUNCTION("""COMPUTED_VALUE"""),"")</f>
        <v/>
      </c>
    </row>
    <row r="883" spans="1:8" ht="12.75">
      <c r="A883" s="36" t="str">
        <f ca="1">IFERROR(__xludf.DUMMYFUNCTION("""COMPUTED_VALUE"""),"")</f>
        <v/>
      </c>
      <c r="B883" s="37"/>
      <c r="C883" s="54" t="str">
        <f ca="1">IFERROR(__xludf.DUMMYFUNCTION("""COMPUTED_VALUE"""),"")</f>
        <v/>
      </c>
      <c r="D883" s="54" t="str">
        <f ca="1">IFERROR(__xludf.DUMMYFUNCTION("""COMPUTED_VALUE"""),"")</f>
        <v/>
      </c>
      <c r="E883" s="55" t="str">
        <f ca="1">IFERROR(__xludf.DUMMYFUNCTION("""COMPUTED_VALUE"""),"")</f>
        <v/>
      </c>
      <c r="F883" s="54" t="str">
        <f ca="1">IFERROR(__xludf.DUMMYFUNCTION("""COMPUTED_VALUE"""),"")</f>
        <v/>
      </c>
      <c r="G883" s="38" t="str">
        <f ca="1">IFERROR(__xludf.DUMMYFUNCTION("""COMPUTED_VALUE"""),"")</f>
        <v/>
      </c>
      <c r="H883" s="38" t="str">
        <f ca="1">IFERROR(__xludf.DUMMYFUNCTION("""COMPUTED_VALUE"""),"")</f>
        <v/>
      </c>
    </row>
    <row r="884" spans="1:8" ht="12.75">
      <c r="A884" s="36" t="str">
        <f ca="1">IFERROR(__xludf.DUMMYFUNCTION("""COMPUTED_VALUE"""),"")</f>
        <v/>
      </c>
      <c r="B884" s="37"/>
      <c r="C884" s="54" t="str">
        <f ca="1">IFERROR(__xludf.DUMMYFUNCTION("""COMPUTED_VALUE"""),"")</f>
        <v/>
      </c>
      <c r="D884" s="54" t="str">
        <f ca="1">IFERROR(__xludf.DUMMYFUNCTION("""COMPUTED_VALUE"""),"")</f>
        <v/>
      </c>
      <c r="E884" s="55" t="str">
        <f ca="1">IFERROR(__xludf.DUMMYFUNCTION("""COMPUTED_VALUE"""),"")</f>
        <v/>
      </c>
      <c r="F884" s="54" t="str">
        <f ca="1">IFERROR(__xludf.DUMMYFUNCTION("""COMPUTED_VALUE"""),"")</f>
        <v/>
      </c>
      <c r="G884" s="38" t="str">
        <f ca="1">IFERROR(__xludf.DUMMYFUNCTION("""COMPUTED_VALUE"""),"")</f>
        <v/>
      </c>
      <c r="H884" s="38" t="str">
        <f ca="1">IFERROR(__xludf.DUMMYFUNCTION("""COMPUTED_VALUE"""),"")</f>
        <v/>
      </c>
    </row>
    <row r="885" spans="1:8" ht="12.75">
      <c r="A885" s="36" t="str">
        <f ca="1">IFERROR(__xludf.DUMMYFUNCTION("""COMPUTED_VALUE"""),"")</f>
        <v/>
      </c>
      <c r="B885" s="37"/>
      <c r="C885" s="54" t="str">
        <f ca="1">IFERROR(__xludf.DUMMYFUNCTION("""COMPUTED_VALUE"""),"")</f>
        <v/>
      </c>
      <c r="D885" s="54" t="str">
        <f ca="1">IFERROR(__xludf.DUMMYFUNCTION("""COMPUTED_VALUE"""),"")</f>
        <v/>
      </c>
      <c r="E885" s="55" t="str">
        <f ca="1">IFERROR(__xludf.DUMMYFUNCTION("""COMPUTED_VALUE"""),"")</f>
        <v/>
      </c>
      <c r="F885" s="54" t="str">
        <f ca="1">IFERROR(__xludf.DUMMYFUNCTION("""COMPUTED_VALUE"""),"")</f>
        <v/>
      </c>
      <c r="G885" s="38" t="str">
        <f ca="1">IFERROR(__xludf.DUMMYFUNCTION("""COMPUTED_VALUE"""),"")</f>
        <v/>
      </c>
      <c r="H885" s="38" t="str">
        <f ca="1">IFERROR(__xludf.DUMMYFUNCTION("""COMPUTED_VALUE"""),"")</f>
        <v/>
      </c>
    </row>
    <row r="886" spans="1:8" ht="12.75">
      <c r="A886" s="36" t="str">
        <f ca="1">IFERROR(__xludf.DUMMYFUNCTION("""COMPUTED_VALUE"""),"")</f>
        <v/>
      </c>
      <c r="B886" s="37"/>
      <c r="C886" s="54" t="str">
        <f ca="1">IFERROR(__xludf.DUMMYFUNCTION("""COMPUTED_VALUE"""),"")</f>
        <v/>
      </c>
      <c r="D886" s="54" t="str">
        <f ca="1">IFERROR(__xludf.DUMMYFUNCTION("""COMPUTED_VALUE"""),"")</f>
        <v/>
      </c>
      <c r="E886" s="55" t="str">
        <f ca="1">IFERROR(__xludf.DUMMYFUNCTION("""COMPUTED_VALUE"""),"")</f>
        <v/>
      </c>
      <c r="F886" s="54" t="str">
        <f ca="1">IFERROR(__xludf.DUMMYFUNCTION("""COMPUTED_VALUE"""),"")</f>
        <v/>
      </c>
      <c r="G886" s="38" t="str">
        <f ca="1">IFERROR(__xludf.DUMMYFUNCTION("""COMPUTED_VALUE"""),"")</f>
        <v/>
      </c>
      <c r="H886" s="38" t="str">
        <f ca="1">IFERROR(__xludf.DUMMYFUNCTION("""COMPUTED_VALUE"""),"")</f>
        <v/>
      </c>
    </row>
    <row r="887" spans="1:8" ht="12.75">
      <c r="A887" s="36" t="str">
        <f ca="1">IFERROR(__xludf.DUMMYFUNCTION("""COMPUTED_VALUE"""),"")</f>
        <v/>
      </c>
      <c r="B887" s="37"/>
      <c r="C887" s="54" t="str">
        <f ca="1">IFERROR(__xludf.DUMMYFUNCTION("""COMPUTED_VALUE"""),"")</f>
        <v/>
      </c>
      <c r="D887" s="54" t="str">
        <f ca="1">IFERROR(__xludf.DUMMYFUNCTION("""COMPUTED_VALUE"""),"")</f>
        <v/>
      </c>
      <c r="E887" s="55" t="str">
        <f ca="1">IFERROR(__xludf.DUMMYFUNCTION("""COMPUTED_VALUE"""),"")</f>
        <v/>
      </c>
      <c r="F887" s="54" t="str">
        <f ca="1">IFERROR(__xludf.DUMMYFUNCTION("""COMPUTED_VALUE"""),"")</f>
        <v/>
      </c>
      <c r="G887" s="38" t="str">
        <f ca="1">IFERROR(__xludf.DUMMYFUNCTION("""COMPUTED_VALUE"""),"")</f>
        <v/>
      </c>
      <c r="H887" s="38" t="str">
        <f ca="1">IFERROR(__xludf.DUMMYFUNCTION("""COMPUTED_VALUE"""),"")</f>
        <v/>
      </c>
    </row>
    <row r="888" spans="1:8" ht="12.75">
      <c r="A888" s="36" t="str">
        <f ca="1">IFERROR(__xludf.DUMMYFUNCTION("""COMPUTED_VALUE"""),"")</f>
        <v/>
      </c>
      <c r="B888" s="37"/>
      <c r="C888" s="54" t="str">
        <f ca="1">IFERROR(__xludf.DUMMYFUNCTION("""COMPUTED_VALUE"""),"")</f>
        <v/>
      </c>
      <c r="D888" s="54" t="str">
        <f ca="1">IFERROR(__xludf.DUMMYFUNCTION("""COMPUTED_VALUE"""),"")</f>
        <v/>
      </c>
      <c r="E888" s="55" t="str">
        <f ca="1">IFERROR(__xludf.DUMMYFUNCTION("""COMPUTED_VALUE"""),"")</f>
        <v/>
      </c>
      <c r="F888" s="54" t="str">
        <f ca="1">IFERROR(__xludf.DUMMYFUNCTION("""COMPUTED_VALUE"""),"")</f>
        <v/>
      </c>
      <c r="G888" s="38" t="str">
        <f ca="1">IFERROR(__xludf.DUMMYFUNCTION("""COMPUTED_VALUE"""),"")</f>
        <v/>
      </c>
      <c r="H888" s="38" t="str">
        <f ca="1">IFERROR(__xludf.DUMMYFUNCTION("""COMPUTED_VALUE"""),"")</f>
        <v/>
      </c>
    </row>
    <row r="889" spans="1:8" ht="12.75">
      <c r="A889" s="36" t="str">
        <f ca="1">IFERROR(__xludf.DUMMYFUNCTION("""COMPUTED_VALUE"""),"")</f>
        <v/>
      </c>
      <c r="B889" s="37"/>
      <c r="C889" s="54" t="str">
        <f ca="1">IFERROR(__xludf.DUMMYFUNCTION("""COMPUTED_VALUE"""),"")</f>
        <v/>
      </c>
      <c r="D889" s="54" t="str">
        <f ca="1">IFERROR(__xludf.DUMMYFUNCTION("""COMPUTED_VALUE"""),"")</f>
        <v/>
      </c>
      <c r="E889" s="55" t="str">
        <f ca="1">IFERROR(__xludf.DUMMYFUNCTION("""COMPUTED_VALUE"""),"")</f>
        <v/>
      </c>
      <c r="F889" s="54" t="str">
        <f ca="1">IFERROR(__xludf.DUMMYFUNCTION("""COMPUTED_VALUE"""),"")</f>
        <v/>
      </c>
      <c r="G889" s="38" t="str">
        <f ca="1">IFERROR(__xludf.DUMMYFUNCTION("""COMPUTED_VALUE"""),"")</f>
        <v/>
      </c>
      <c r="H889" s="38" t="str">
        <f ca="1">IFERROR(__xludf.DUMMYFUNCTION("""COMPUTED_VALUE"""),"")</f>
        <v/>
      </c>
    </row>
    <row r="890" spans="1:8" ht="12.75">
      <c r="A890" s="36" t="str">
        <f ca="1">IFERROR(__xludf.DUMMYFUNCTION("""COMPUTED_VALUE"""),"")</f>
        <v/>
      </c>
      <c r="B890" s="37"/>
      <c r="C890" s="54" t="str">
        <f ca="1">IFERROR(__xludf.DUMMYFUNCTION("""COMPUTED_VALUE"""),"")</f>
        <v/>
      </c>
      <c r="D890" s="54" t="str">
        <f ca="1">IFERROR(__xludf.DUMMYFUNCTION("""COMPUTED_VALUE"""),"")</f>
        <v/>
      </c>
      <c r="E890" s="55" t="str">
        <f ca="1">IFERROR(__xludf.DUMMYFUNCTION("""COMPUTED_VALUE"""),"")</f>
        <v/>
      </c>
      <c r="F890" s="54" t="str">
        <f ca="1">IFERROR(__xludf.DUMMYFUNCTION("""COMPUTED_VALUE"""),"")</f>
        <v/>
      </c>
      <c r="G890" s="38" t="str">
        <f ca="1">IFERROR(__xludf.DUMMYFUNCTION("""COMPUTED_VALUE"""),"")</f>
        <v/>
      </c>
      <c r="H890" s="38" t="str">
        <f ca="1">IFERROR(__xludf.DUMMYFUNCTION("""COMPUTED_VALUE"""),"")</f>
        <v/>
      </c>
    </row>
    <row r="891" spans="1:8" ht="12.75">
      <c r="A891" s="36" t="str">
        <f ca="1">IFERROR(__xludf.DUMMYFUNCTION("""COMPUTED_VALUE"""),"")</f>
        <v/>
      </c>
      <c r="B891" s="37"/>
      <c r="C891" s="54" t="str">
        <f ca="1">IFERROR(__xludf.DUMMYFUNCTION("""COMPUTED_VALUE"""),"")</f>
        <v/>
      </c>
      <c r="D891" s="54" t="str">
        <f ca="1">IFERROR(__xludf.DUMMYFUNCTION("""COMPUTED_VALUE"""),"")</f>
        <v/>
      </c>
      <c r="E891" s="55" t="str">
        <f ca="1">IFERROR(__xludf.DUMMYFUNCTION("""COMPUTED_VALUE"""),"")</f>
        <v/>
      </c>
      <c r="F891" s="54" t="str">
        <f ca="1">IFERROR(__xludf.DUMMYFUNCTION("""COMPUTED_VALUE"""),"")</f>
        <v/>
      </c>
      <c r="G891" s="38" t="str">
        <f ca="1">IFERROR(__xludf.DUMMYFUNCTION("""COMPUTED_VALUE"""),"")</f>
        <v/>
      </c>
      <c r="H891" s="38" t="str">
        <f ca="1">IFERROR(__xludf.DUMMYFUNCTION("""COMPUTED_VALUE"""),"")</f>
        <v/>
      </c>
    </row>
    <row r="892" spans="1:8" ht="12.75">
      <c r="A892" s="36" t="str">
        <f ca="1">IFERROR(__xludf.DUMMYFUNCTION("""COMPUTED_VALUE"""),"")</f>
        <v/>
      </c>
      <c r="B892" s="37"/>
      <c r="C892" s="54" t="str">
        <f ca="1">IFERROR(__xludf.DUMMYFUNCTION("""COMPUTED_VALUE"""),"")</f>
        <v/>
      </c>
      <c r="D892" s="54" t="str">
        <f ca="1">IFERROR(__xludf.DUMMYFUNCTION("""COMPUTED_VALUE"""),"")</f>
        <v/>
      </c>
      <c r="E892" s="55" t="str">
        <f ca="1">IFERROR(__xludf.DUMMYFUNCTION("""COMPUTED_VALUE"""),"")</f>
        <v/>
      </c>
      <c r="F892" s="54" t="str">
        <f ca="1">IFERROR(__xludf.DUMMYFUNCTION("""COMPUTED_VALUE"""),"")</f>
        <v/>
      </c>
      <c r="G892" s="38" t="str">
        <f ca="1">IFERROR(__xludf.DUMMYFUNCTION("""COMPUTED_VALUE"""),"")</f>
        <v/>
      </c>
      <c r="H892" s="38" t="str">
        <f ca="1">IFERROR(__xludf.DUMMYFUNCTION("""COMPUTED_VALUE"""),"")</f>
        <v/>
      </c>
    </row>
    <row r="893" spans="1:8" ht="12.75">
      <c r="A893" s="36" t="str">
        <f ca="1">IFERROR(__xludf.DUMMYFUNCTION("""COMPUTED_VALUE"""),"")</f>
        <v/>
      </c>
      <c r="B893" s="37"/>
      <c r="C893" s="54" t="str">
        <f ca="1">IFERROR(__xludf.DUMMYFUNCTION("""COMPUTED_VALUE"""),"")</f>
        <v/>
      </c>
      <c r="D893" s="54" t="str">
        <f ca="1">IFERROR(__xludf.DUMMYFUNCTION("""COMPUTED_VALUE"""),"")</f>
        <v/>
      </c>
      <c r="E893" s="55" t="str">
        <f ca="1">IFERROR(__xludf.DUMMYFUNCTION("""COMPUTED_VALUE"""),"")</f>
        <v/>
      </c>
      <c r="F893" s="54" t="str">
        <f ca="1">IFERROR(__xludf.DUMMYFUNCTION("""COMPUTED_VALUE"""),"")</f>
        <v/>
      </c>
      <c r="G893" s="38" t="str">
        <f ca="1">IFERROR(__xludf.DUMMYFUNCTION("""COMPUTED_VALUE"""),"")</f>
        <v/>
      </c>
      <c r="H893" s="38" t="str">
        <f ca="1">IFERROR(__xludf.DUMMYFUNCTION("""COMPUTED_VALUE"""),"")</f>
        <v/>
      </c>
    </row>
    <row r="894" spans="1:8" ht="12.75">
      <c r="A894" s="36" t="str">
        <f ca="1">IFERROR(__xludf.DUMMYFUNCTION("""COMPUTED_VALUE"""),"")</f>
        <v/>
      </c>
      <c r="B894" s="37"/>
      <c r="C894" s="54" t="str">
        <f ca="1">IFERROR(__xludf.DUMMYFUNCTION("""COMPUTED_VALUE"""),"")</f>
        <v/>
      </c>
      <c r="D894" s="54" t="str">
        <f ca="1">IFERROR(__xludf.DUMMYFUNCTION("""COMPUTED_VALUE"""),"")</f>
        <v/>
      </c>
      <c r="E894" s="55" t="str">
        <f ca="1">IFERROR(__xludf.DUMMYFUNCTION("""COMPUTED_VALUE"""),"")</f>
        <v/>
      </c>
      <c r="F894" s="54" t="str">
        <f ca="1">IFERROR(__xludf.DUMMYFUNCTION("""COMPUTED_VALUE"""),"")</f>
        <v/>
      </c>
      <c r="G894" s="38" t="str">
        <f ca="1">IFERROR(__xludf.DUMMYFUNCTION("""COMPUTED_VALUE"""),"")</f>
        <v/>
      </c>
      <c r="H894" s="38" t="str">
        <f ca="1">IFERROR(__xludf.DUMMYFUNCTION("""COMPUTED_VALUE"""),"")</f>
        <v/>
      </c>
    </row>
    <row r="895" spans="1:8" ht="12.75">
      <c r="A895" s="36" t="str">
        <f ca="1">IFERROR(__xludf.DUMMYFUNCTION("""COMPUTED_VALUE"""),"")</f>
        <v/>
      </c>
      <c r="B895" s="37"/>
      <c r="C895" s="54" t="str">
        <f ca="1">IFERROR(__xludf.DUMMYFUNCTION("""COMPUTED_VALUE"""),"")</f>
        <v/>
      </c>
      <c r="D895" s="54" t="str">
        <f ca="1">IFERROR(__xludf.DUMMYFUNCTION("""COMPUTED_VALUE"""),"")</f>
        <v/>
      </c>
      <c r="E895" s="55" t="str">
        <f ca="1">IFERROR(__xludf.DUMMYFUNCTION("""COMPUTED_VALUE"""),"")</f>
        <v/>
      </c>
      <c r="F895" s="54" t="str">
        <f ca="1">IFERROR(__xludf.DUMMYFUNCTION("""COMPUTED_VALUE"""),"")</f>
        <v/>
      </c>
      <c r="G895" s="38" t="str">
        <f ca="1">IFERROR(__xludf.DUMMYFUNCTION("""COMPUTED_VALUE"""),"")</f>
        <v/>
      </c>
      <c r="H895" s="38" t="str">
        <f ca="1">IFERROR(__xludf.DUMMYFUNCTION("""COMPUTED_VALUE"""),"")</f>
        <v/>
      </c>
    </row>
    <row r="896" spans="1:8" ht="12.75">
      <c r="A896" s="36" t="str">
        <f ca="1">IFERROR(__xludf.DUMMYFUNCTION("""COMPUTED_VALUE"""),"")</f>
        <v/>
      </c>
      <c r="B896" s="37"/>
      <c r="C896" s="54" t="str">
        <f ca="1">IFERROR(__xludf.DUMMYFUNCTION("""COMPUTED_VALUE"""),"")</f>
        <v/>
      </c>
      <c r="D896" s="54" t="str">
        <f ca="1">IFERROR(__xludf.DUMMYFUNCTION("""COMPUTED_VALUE"""),"")</f>
        <v/>
      </c>
      <c r="E896" s="55" t="str">
        <f ca="1">IFERROR(__xludf.DUMMYFUNCTION("""COMPUTED_VALUE"""),"")</f>
        <v/>
      </c>
      <c r="F896" s="54" t="str">
        <f ca="1">IFERROR(__xludf.DUMMYFUNCTION("""COMPUTED_VALUE"""),"")</f>
        <v/>
      </c>
      <c r="G896" s="38" t="str">
        <f ca="1">IFERROR(__xludf.DUMMYFUNCTION("""COMPUTED_VALUE"""),"")</f>
        <v/>
      </c>
      <c r="H896" s="38" t="str">
        <f ca="1">IFERROR(__xludf.DUMMYFUNCTION("""COMPUTED_VALUE"""),"")</f>
        <v/>
      </c>
    </row>
    <row r="897" spans="1:8" ht="12.75">
      <c r="A897" s="36" t="str">
        <f ca="1">IFERROR(__xludf.DUMMYFUNCTION("""COMPUTED_VALUE"""),"")</f>
        <v/>
      </c>
      <c r="B897" s="37"/>
      <c r="C897" s="54" t="str">
        <f ca="1">IFERROR(__xludf.DUMMYFUNCTION("""COMPUTED_VALUE"""),"")</f>
        <v/>
      </c>
      <c r="D897" s="54" t="str">
        <f ca="1">IFERROR(__xludf.DUMMYFUNCTION("""COMPUTED_VALUE"""),"")</f>
        <v/>
      </c>
      <c r="E897" s="55" t="str">
        <f ca="1">IFERROR(__xludf.DUMMYFUNCTION("""COMPUTED_VALUE"""),"")</f>
        <v/>
      </c>
      <c r="F897" s="54" t="str">
        <f ca="1">IFERROR(__xludf.DUMMYFUNCTION("""COMPUTED_VALUE"""),"")</f>
        <v/>
      </c>
      <c r="G897" s="38" t="str">
        <f ca="1">IFERROR(__xludf.DUMMYFUNCTION("""COMPUTED_VALUE"""),"")</f>
        <v/>
      </c>
      <c r="H897" s="38" t="str">
        <f ca="1">IFERROR(__xludf.DUMMYFUNCTION("""COMPUTED_VALUE"""),"")</f>
        <v/>
      </c>
    </row>
    <row r="898" spans="1:8" ht="12.75">
      <c r="A898" s="36" t="str">
        <f ca="1">IFERROR(__xludf.DUMMYFUNCTION("""COMPUTED_VALUE"""),"")</f>
        <v/>
      </c>
      <c r="B898" s="37"/>
      <c r="C898" s="54" t="str">
        <f ca="1">IFERROR(__xludf.DUMMYFUNCTION("""COMPUTED_VALUE"""),"")</f>
        <v/>
      </c>
      <c r="D898" s="54" t="str">
        <f ca="1">IFERROR(__xludf.DUMMYFUNCTION("""COMPUTED_VALUE"""),"")</f>
        <v/>
      </c>
      <c r="E898" s="55" t="str">
        <f ca="1">IFERROR(__xludf.DUMMYFUNCTION("""COMPUTED_VALUE"""),"")</f>
        <v/>
      </c>
      <c r="F898" s="54" t="str">
        <f ca="1">IFERROR(__xludf.DUMMYFUNCTION("""COMPUTED_VALUE"""),"")</f>
        <v/>
      </c>
      <c r="G898" s="38" t="str">
        <f ca="1">IFERROR(__xludf.DUMMYFUNCTION("""COMPUTED_VALUE"""),"")</f>
        <v/>
      </c>
      <c r="H898" s="38" t="str">
        <f ca="1">IFERROR(__xludf.DUMMYFUNCTION("""COMPUTED_VALUE"""),"")</f>
        <v/>
      </c>
    </row>
    <row r="899" spans="1:8" ht="12.75">
      <c r="A899" s="36" t="str">
        <f ca="1">IFERROR(__xludf.DUMMYFUNCTION("""COMPUTED_VALUE"""),"")</f>
        <v/>
      </c>
      <c r="B899" s="37"/>
      <c r="C899" s="54" t="str">
        <f ca="1">IFERROR(__xludf.DUMMYFUNCTION("""COMPUTED_VALUE"""),"")</f>
        <v/>
      </c>
      <c r="D899" s="54" t="str">
        <f ca="1">IFERROR(__xludf.DUMMYFUNCTION("""COMPUTED_VALUE"""),"")</f>
        <v/>
      </c>
      <c r="E899" s="55" t="str">
        <f ca="1">IFERROR(__xludf.DUMMYFUNCTION("""COMPUTED_VALUE"""),"")</f>
        <v/>
      </c>
      <c r="F899" s="54" t="str">
        <f ca="1">IFERROR(__xludf.DUMMYFUNCTION("""COMPUTED_VALUE"""),"")</f>
        <v/>
      </c>
      <c r="G899" s="38" t="str">
        <f ca="1">IFERROR(__xludf.DUMMYFUNCTION("""COMPUTED_VALUE"""),"")</f>
        <v/>
      </c>
      <c r="H899" s="38" t="str">
        <f ca="1">IFERROR(__xludf.DUMMYFUNCTION("""COMPUTED_VALUE"""),"")</f>
        <v/>
      </c>
    </row>
    <row r="900" spans="1:8" ht="12.75">
      <c r="A900" s="36" t="str">
        <f ca="1">IFERROR(__xludf.DUMMYFUNCTION("""COMPUTED_VALUE"""),"")</f>
        <v/>
      </c>
      <c r="B900" s="37"/>
      <c r="C900" s="54" t="str">
        <f ca="1">IFERROR(__xludf.DUMMYFUNCTION("""COMPUTED_VALUE"""),"")</f>
        <v/>
      </c>
      <c r="D900" s="54" t="str">
        <f ca="1">IFERROR(__xludf.DUMMYFUNCTION("""COMPUTED_VALUE"""),"")</f>
        <v/>
      </c>
      <c r="E900" s="55" t="str">
        <f ca="1">IFERROR(__xludf.DUMMYFUNCTION("""COMPUTED_VALUE"""),"")</f>
        <v/>
      </c>
      <c r="F900" s="54" t="str">
        <f ca="1">IFERROR(__xludf.DUMMYFUNCTION("""COMPUTED_VALUE"""),"")</f>
        <v/>
      </c>
      <c r="G900" s="38" t="str">
        <f ca="1">IFERROR(__xludf.DUMMYFUNCTION("""COMPUTED_VALUE"""),"")</f>
        <v/>
      </c>
      <c r="H900" s="38" t="str">
        <f ca="1">IFERROR(__xludf.DUMMYFUNCTION("""COMPUTED_VALUE"""),"")</f>
        <v/>
      </c>
    </row>
    <row r="901" spans="1:8" ht="12.75">
      <c r="A901" s="36" t="str">
        <f ca="1">IFERROR(__xludf.DUMMYFUNCTION("""COMPUTED_VALUE"""),"")</f>
        <v/>
      </c>
      <c r="B901" s="37"/>
      <c r="C901" s="54" t="str">
        <f ca="1">IFERROR(__xludf.DUMMYFUNCTION("""COMPUTED_VALUE"""),"")</f>
        <v/>
      </c>
      <c r="D901" s="54" t="str">
        <f ca="1">IFERROR(__xludf.DUMMYFUNCTION("""COMPUTED_VALUE"""),"")</f>
        <v/>
      </c>
      <c r="E901" s="55" t="str">
        <f ca="1">IFERROR(__xludf.DUMMYFUNCTION("""COMPUTED_VALUE"""),"")</f>
        <v/>
      </c>
      <c r="F901" s="54" t="str">
        <f ca="1">IFERROR(__xludf.DUMMYFUNCTION("""COMPUTED_VALUE"""),"")</f>
        <v/>
      </c>
      <c r="G901" s="38" t="str">
        <f ca="1">IFERROR(__xludf.DUMMYFUNCTION("""COMPUTED_VALUE"""),"")</f>
        <v/>
      </c>
      <c r="H901" s="38" t="str">
        <f ca="1">IFERROR(__xludf.DUMMYFUNCTION("""COMPUTED_VALUE"""),"")</f>
        <v/>
      </c>
    </row>
    <row r="902" spans="1:8" ht="12.75">
      <c r="A902" s="36" t="str">
        <f ca="1">IFERROR(__xludf.DUMMYFUNCTION("""COMPUTED_VALUE"""),"")</f>
        <v/>
      </c>
      <c r="B902" s="37"/>
      <c r="C902" s="54" t="str">
        <f ca="1">IFERROR(__xludf.DUMMYFUNCTION("""COMPUTED_VALUE"""),"")</f>
        <v/>
      </c>
      <c r="D902" s="54" t="str">
        <f ca="1">IFERROR(__xludf.DUMMYFUNCTION("""COMPUTED_VALUE"""),"")</f>
        <v/>
      </c>
      <c r="E902" s="55" t="str">
        <f ca="1">IFERROR(__xludf.DUMMYFUNCTION("""COMPUTED_VALUE"""),"")</f>
        <v/>
      </c>
      <c r="F902" s="54" t="str">
        <f ca="1">IFERROR(__xludf.DUMMYFUNCTION("""COMPUTED_VALUE"""),"")</f>
        <v/>
      </c>
      <c r="G902" s="38" t="str">
        <f ca="1">IFERROR(__xludf.DUMMYFUNCTION("""COMPUTED_VALUE"""),"")</f>
        <v/>
      </c>
      <c r="H902" s="38" t="str">
        <f ca="1">IFERROR(__xludf.DUMMYFUNCTION("""COMPUTED_VALUE"""),"")</f>
        <v/>
      </c>
    </row>
    <row r="903" spans="1:8" ht="12.75">
      <c r="A903" s="36" t="str">
        <f ca="1">IFERROR(__xludf.DUMMYFUNCTION("""COMPUTED_VALUE"""),"")</f>
        <v/>
      </c>
      <c r="B903" s="37"/>
      <c r="C903" s="54" t="str">
        <f ca="1">IFERROR(__xludf.DUMMYFUNCTION("""COMPUTED_VALUE"""),"")</f>
        <v/>
      </c>
      <c r="D903" s="54" t="str">
        <f ca="1">IFERROR(__xludf.DUMMYFUNCTION("""COMPUTED_VALUE"""),"")</f>
        <v/>
      </c>
      <c r="E903" s="55" t="str">
        <f ca="1">IFERROR(__xludf.DUMMYFUNCTION("""COMPUTED_VALUE"""),"")</f>
        <v/>
      </c>
      <c r="F903" s="54" t="str">
        <f ca="1">IFERROR(__xludf.DUMMYFUNCTION("""COMPUTED_VALUE"""),"")</f>
        <v/>
      </c>
      <c r="G903" s="38" t="str">
        <f ca="1">IFERROR(__xludf.DUMMYFUNCTION("""COMPUTED_VALUE"""),"")</f>
        <v/>
      </c>
      <c r="H903" s="38" t="str">
        <f ca="1">IFERROR(__xludf.DUMMYFUNCTION("""COMPUTED_VALUE"""),"")</f>
        <v/>
      </c>
    </row>
    <row r="904" spans="1:8" ht="12.75">
      <c r="A904" s="36" t="str">
        <f ca="1">IFERROR(__xludf.DUMMYFUNCTION("""COMPUTED_VALUE"""),"")</f>
        <v/>
      </c>
      <c r="B904" s="37"/>
      <c r="C904" s="54" t="str">
        <f ca="1">IFERROR(__xludf.DUMMYFUNCTION("""COMPUTED_VALUE"""),"")</f>
        <v/>
      </c>
      <c r="D904" s="54" t="str">
        <f ca="1">IFERROR(__xludf.DUMMYFUNCTION("""COMPUTED_VALUE"""),"")</f>
        <v/>
      </c>
      <c r="E904" s="55" t="str">
        <f ca="1">IFERROR(__xludf.DUMMYFUNCTION("""COMPUTED_VALUE"""),"")</f>
        <v/>
      </c>
      <c r="F904" s="54" t="str">
        <f ca="1">IFERROR(__xludf.DUMMYFUNCTION("""COMPUTED_VALUE"""),"")</f>
        <v/>
      </c>
      <c r="G904" s="38" t="str">
        <f ca="1">IFERROR(__xludf.DUMMYFUNCTION("""COMPUTED_VALUE"""),"")</f>
        <v/>
      </c>
      <c r="H904" s="38" t="str">
        <f ca="1">IFERROR(__xludf.DUMMYFUNCTION("""COMPUTED_VALUE"""),"")</f>
        <v/>
      </c>
    </row>
    <row r="905" spans="1:8" ht="12.75">
      <c r="A905" s="36" t="str">
        <f ca="1">IFERROR(__xludf.DUMMYFUNCTION("""COMPUTED_VALUE"""),"")</f>
        <v/>
      </c>
      <c r="B905" s="37"/>
      <c r="C905" s="54" t="str">
        <f ca="1">IFERROR(__xludf.DUMMYFUNCTION("""COMPUTED_VALUE"""),"")</f>
        <v/>
      </c>
      <c r="D905" s="54" t="str">
        <f ca="1">IFERROR(__xludf.DUMMYFUNCTION("""COMPUTED_VALUE"""),"")</f>
        <v/>
      </c>
      <c r="E905" s="55" t="str">
        <f ca="1">IFERROR(__xludf.DUMMYFUNCTION("""COMPUTED_VALUE"""),"")</f>
        <v/>
      </c>
      <c r="F905" s="54" t="str">
        <f ca="1">IFERROR(__xludf.DUMMYFUNCTION("""COMPUTED_VALUE"""),"")</f>
        <v/>
      </c>
      <c r="G905" s="38" t="str">
        <f ca="1">IFERROR(__xludf.DUMMYFUNCTION("""COMPUTED_VALUE"""),"")</f>
        <v/>
      </c>
      <c r="H905" s="38" t="str">
        <f ca="1">IFERROR(__xludf.DUMMYFUNCTION("""COMPUTED_VALUE"""),"")</f>
        <v/>
      </c>
    </row>
    <row r="906" spans="1:8" ht="12.75">
      <c r="A906" s="36" t="str">
        <f ca="1">IFERROR(__xludf.DUMMYFUNCTION("""COMPUTED_VALUE"""),"")</f>
        <v/>
      </c>
      <c r="B906" s="37"/>
      <c r="C906" s="54" t="str">
        <f ca="1">IFERROR(__xludf.DUMMYFUNCTION("""COMPUTED_VALUE"""),"")</f>
        <v/>
      </c>
      <c r="D906" s="54" t="str">
        <f ca="1">IFERROR(__xludf.DUMMYFUNCTION("""COMPUTED_VALUE"""),"")</f>
        <v/>
      </c>
      <c r="E906" s="55" t="str">
        <f ca="1">IFERROR(__xludf.DUMMYFUNCTION("""COMPUTED_VALUE"""),"")</f>
        <v/>
      </c>
      <c r="F906" s="54" t="str">
        <f ca="1">IFERROR(__xludf.DUMMYFUNCTION("""COMPUTED_VALUE"""),"")</f>
        <v/>
      </c>
      <c r="G906" s="38" t="str">
        <f ca="1">IFERROR(__xludf.DUMMYFUNCTION("""COMPUTED_VALUE"""),"")</f>
        <v/>
      </c>
      <c r="H906" s="38" t="str">
        <f ca="1">IFERROR(__xludf.DUMMYFUNCTION("""COMPUTED_VALUE"""),"")</f>
        <v/>
      </c>
    </row>
    <row r="907" spans="1:8" ht="12.75">
      <c r="A907" s="36" t="str">
        <f ca="1">IFERROR(__xludf.DUMMYFUNCTION("""COMPUTED_VALUE"""),"")</f>
        <v/>
      </c>
      <c r="B907" s="37"/>
      <c r="C907" s="54" t="str">
        <f ca="1">IFERROR(__xludf.DUMMYFUNCTION("""COMPUTED_VALUE"""),"")</f>
        <v/>
      </c>
      <c r="D907" s="54" t="str">
        <f ca="1">IFERROR(__xludf.DUMMYFUNCTION("""COMPUTED_VALUE"""),"")</f>
        <v/>
      </c>
      <c r="E907" s="55" t="str">
        <f ca="1">IFERROR(__xludf.DUMMYFUNCTION("""COMPUTED_VALUE"""),"")</f>
        <v/>
      </c>
      <c r="F907" s="54" t="str">
        <f ca="1">IFERROR(__xludf.DUMMYFUNCTION("""COMPUTED_VALUE"""),"")</f>
        <v/>
      </c>
      <c r="G907" s="38" t="str">
        <f ca="1">IFERROR(__xludf.DUMMYFUNCTION("""COMPUTED_VALUE"""),"")</f>
        <v/>
      </c>
      <c r="H907" s="38" t="str">
        <f ca="1">IFERROR(__xludf.DUMMYFUNCTION("""COMPUTED_VALUE"""),"")</f>
        <v/>
      </c>
    </row>
    <row r="908" spans="1:8" ht="12.75">
      <c r="A908" s="36" t="str">
        <f ca="1">IFERROR(__xludf.DUMMYFUNCTION("""COMPUTED_VALUE"""),"")</f>
        <v/>
      </c>
      <c r="B908" s="37"/>
      <c r="C908" s="54" t="str">
        <f ca="1">IFERROR(__xludf.DUMMYFUNCTION("""COMPUTED_VALUE"""),"")</f>
        <v/>
      </c>
      <c r="D908" s="54" t="str">
        <f ca="1">IFERROR(__xludf.DUMMYFUNCTION("""COMPUTED_VALUE"""),"")</f>
        <v/>
      </c>
      <c r="E908" s="55" t="str">
        <f ca="1">IFERROR(__xludf.DUMMYFUNCTION("""COMPUTED_VALUE"""),"")</f>
        <v/>
      </c>
      <c r="F908" s="54" t="str">
        <f ca="1">IFERROR(__xludf.DUMMYFUNCTION("""COMPUTED_VALUE"""),"")</f>
        <v/>
      </c>
      <c r="G908" s="38" t="str">
        <f ca="1">IFERROR(__xludf.DUMMYFUNCTION("""COMPUTED_VALUE"""),"")</f>
        <v/>
      </c>
      <c r="H908" s="38" t="str">
        <f ca="1">IFERROR(__xludf.DUMMYFUNCTION("""COMPUTED_VALUE"""),"")</f>
        <v/>
      </c>
    </row>
    <row r="909" spans="1:8" ht="12.75">
      <c r="A909" s="36" t="str">
        <f ca="1">IFERROR(__xludf.DUMMYFUNCTION("""COMPUTED_VALUE"""),"")</f>
        <v/>
      </c>
      <c r="B909" s="37"/>
      <c r="C909" s="54" t="str">
        <f ca="1">IFERROR(__xludf.DUMMYFUNCTION("""COMPUTED_VALUE"""),"")</f>
        <v/>
      </c>
      <c r="D909" s="54" t="str">
        <f ca="1">IFERROR(__xludf.DUMMYFUNCTION("""COMPUTED_VALUE"""),"")</f>
        <v/>
      </c>
      <c r="E909" s="55" t="str">
        <f ca="1">IFERROR(__xludf.DUMMYFUNCTION("""COMPUTED_VALUE"""),"")</f>
        <v/>
      </c>
      <c r="F909" s="54" t="str">
        <f ca="1">IFERROR(__xludf.DUMMYFUNCTION("""COMPUTED_VALUE"""),"")</f>
        <v/>
      </c>
      <c r="G909" s="38" t="str">
        <f ca="1">IFERROR(__xludf.DUMMYFUNCTION("""COMPUTED_VALUE"""),"")</f>
        <v/>
      </c>
      <c r="H909" s="38" t="str">
        <f ca="1">IFERROR(__xludf.DUMMYFUNCTION("""COMPUTED_VALUE"""),"")</f>
        <v/>
      </c>
    </row>
    <row r="910" spans="1:8" ht="12.75">
      <c r="A910" s="36" t="str">
        <f ca="1">IFERROR(__xludf.DUMMYFUNCTION("""COMPUTED_VALUE"""),"")</f>
        <v/>
      </c>
      <c r="B910" s="37"/>
      <c r="C910" s="54" t="str">
        <f ca="1">IFERROR(__xludf.DUMMYFUNCTION("""COMPUTED_VALUE"""),"")</f>
        <v/>
      </c>
      <c r="D910" s="54" t="str">
        <f ca="1">IFERROR(__xludf.DUMMYFUNCTION("""COMPUTED_VALUE"""),"")</f>
        <v/>
      </c>
      <c r="E910" s="55" t="str">
        <f ca="1">IFERROR(__xludf.DUMMYFUNCTION("""COMPUTED_VALUE"""),"")</f>
        <v/>
      </c>
      <c r="F910" s="54" t="str">
        <f ca="1">IFERROR(__xludf.DUMMYFUNCTION("""COMPUTED_VALUE"""),"")</f>
        <v/>
      </c>
      <c r="G910" s="38" t="str">
        <f ca="1">IFERROR(__xludf.DUMMYFUNCTION("""COMPUTED_VALUE"""),"")</f>
        <v/>
      </c>
      <c r="H910" s="38" t="str">
        <f ca="1">IFERROR(__xludf.DUMMYFUNCTION("""COMPUTED_VALUE"""),"")</f>
        <v/>
      </c>
    </row>
    <row r="911" spans="1:8" ht="12.75">
      <c r="A911" s="36" t="str">
        <f ca="1">IFERROR(__xludf.DUMMYFUNCTION("""COMPUTED_VALUE"""),"")</f>
        <v/>
      </c>
      <c r="B911" s="37"/>
      <c r="C911" s="54" t="str">
        <f ca="1">IFERROR(__xludf.DUMMYFUNCTION("""COMPUTED_VALUE"""),"")</f>
        <v/>
      </c>
      <c r="D911" s="54" t="str">
        <f ca="1">IFERROR(__xludf.DUMMYFUNCTION("""COMPUTED_VALUE"""),"")</f>
        <v/>
      </c>
      <c r="E911" s="55" t="str">
        <f ca="1">IFERROR(__xludf.DUMMYFUNCTION("""COMPUTED_VALUE"""),"")</f>
        <v/>
      </c>
      <c r="F911" s="54" t="str">
        <f ca="1">IFERROR(__xludf.DUMMYFUNCTION("""COMPUTED_VALUE"""),"")</f>
        <v/>
      </c>
      <c r="G911" s="38" t="str">
        <f ca="1">IFERROR(__xludf.DUMMYFUNCTION("""COMPUTED_VALUE"""),"")</f>
        <v/>
      </c>
      <c r="H911" s="38" t="str">
        <f ca="1">IFERROR(__xludf.DUMMYFUNCTION("""COMPUTED_VALUE"""),"")</f>
        <v/>
      </c>
    </row>
    <row r="912" spans="1:8" ht="12.75">
      <c r="A912" s="36" t="str">
        <f ca="1">IFERROR(__xludf.DUMMYFUNCTION("""COMPUTED_VALUE"""),"")</f>
        <v/>
      </c>
      <c r="B912" s="37"/>
      <c r="C912" s="54" t="str">
        <f ca="1">IFERROR(__xludf.DUMMYFUNCTION("""COMPUTED_VALUE"""),"")</f>
        <v/>
      </c>
      <c r="D912" s="54" t="str">
        <f ca="1">IFERROR(__xludf.DUMMYFUNCTION("""COMPUTED_VALUE"""),"")</f>
        <v/>
      </c>
      <c r="E912" s="55" t="str">
        <f ca="1">IFERROR(__xludf.DUMMYFUNCTION("""COMPUTED_VALUE"""),"")</f>
        <v/>
      </c>
      <c r="F912" s="54" t="str">
        <f ca="1">IFERROR(__xludf.DUMMYFUNCTION("""COMPUTED_VALUE"""),"")</f>
        <v/>
      </c>
      <c r="G912" s="38" t="str">
        <f ca="1">IFERROR(__xludf.DUMMYFUNCTION("""COMPUTED_VALUE"""),"")</f>
        <v/>
      </c>
      <c r="H912" s="38" t="str">
        <f ca="1">IFERROR(__xludf.DUMMYFUNCTION("""COMPUTED_VALUE"""),"")</f>
        <v/>
      </c>
    </row>
    <row r="913" spans="1:8" ht="12.75">
      <c r="A913" s="36" t="str">
        <f ca="1">IFERROR(__xludf.DUMMYFUNCTION("""COMPUTED_VALUE"""),"")</f>
        <v/>
      </c>
      <c r="B913" s="37"/>
      <c r="C913" s="54" t="str">
        <f ca="1">IFERROR(__xludf.DUMMYFUNCTION("""COMPUTED_VALUE"""),"")</f>
        <v/>
      </c>
      <c r="D913" s="54" t="str">
        <f ca="1">IFERROR(__xludf.DUMMYFUNCTION("""COMPUTED_VALUE"""),"")</f>
        <v/>
      </c>
      <c r="E913" s="55" t="str">
        <f ca="1">IFERROR(__xludf.DUMMYFUNCTION("""COMPUTED_VALUE"""),"")</f>
        <v/>
      </c>
      <c r="F913" s="54" t="str">
        <f ca="1">IFERROR(__xludf.DUMMYFUNCTION("""COMPUTED_VALUE"""),"")</f>
        <v/>
      </c>
      <c r="G913" s="38" t="str">
        <f ca="1">IFERROR(__xludf.DUMMYFUNCTION("""COMPUTED_VALUE"""),"")</f>
        <v/>
      </c>
      <c r="H913" s="38" t="str">
        <f ca="1">IFERROR(__xludf.DUMMYFUNCTION("""COMPUTED_VALUE"""),"")</f>
        <v/>
      </c>
    </row>
    <row r="914" spans="1:8" ht="12.75">
      <c r="A914" s="36" t="str">
        <f ca="1">IFERROR(__xludf.DUMMYFUNCTION("""COMPUTED_VALUE"""),"")</f>
        <v/>
      </c>
      <c r="B914" s="37"/>
      <c r="C914" s="54" t="str">
        <f ca="1">IFERROR(__xludf.DUMMYFUNCTION("""COMPUTED_VALUE"""),"")</f>
        <v/>
      </c>
      <c r="D914" s="54" t="str">
        <f ca="1">IFERROR(__xludf.DUMMYFUNCTION("""COMPUTED_VALUE"""),"")</f>
        <v/>
      </c>
      <c r="E914" s="55" t="str">
        <f ca="1">IFERROR(__xludf.DUMMYFUNCTION("""COMPUTED_VALUE"""),"")</f>
        <v/>
      </c>
      <c r="F914" s="54" t="str">
        <f ca="1">IFERROR(__xludf.DUMMYFUNCTION("""COMPUTED_VALUE"""),"")</f>
        <v/>
      </c>
      <c r="G914" s="38" t="str">
        <f ca="1">IFERROR(__xludf.DUMMYFUNCTION("""COMPUTED_VALUE"""),"")</f>
        <v/>
      </c>
      <c r="H914" s="38" t="str">
        <f ca="1">IFERROR(__xludf.DUMMYFUNCTION("""COMPUTED_VALUE"""),"")</f>
        <v/>
      </c>
    </row>
    <row r="915" spans="1:8" ht="12.75">
      <c r="A915" s="36" t="str">
        <f ca="1">IFERROR(__xludf.DUMMYFUNCTION("""COMPUTED_VALUE"""),"")</f>
        <v/>
      </c>
      <c r="B915" s="37"/>
      <c r="C915" s="54" t="str">
        <f ca="1">IFERROR(__xludf.DUMMYFUNCTION("""COMPUTED_VALUE"""),"")</f>
        <v/>
      </c>
      <c r="D915" s="54" t="str">
        <f ca="1">IFERROR(__xludf.DUMMYFUNCTION("""COMPUTED_VALUE"""),"")</f>
        <v/>
      </c>
      <c r="E915" s="55" t="str">
        <f ca="1">IFERROR(__xludf.DUMMYFUNCTION("""COMPUTED_VALUE"""),"")</f>
        <v/>
      </c>
      <c r="F915" s="54" t="str">
        <f ca="1">IFERROR(__xludf.DUMMYFUNCTION("""COMPUTED_VALUE"""),"")</f>
        <v/>
      </c>
      <c r="G915" s="38" t="str">
        <f ca="1">IFERROR(__xludf.DUMMYFUNCTION("""COMPUTED_VALUE"""),"")</f>
        <v/>
      </c>
      <c r="H915" s="38" t="str">
        <f ca="1">IFERROR(__xludf.DUMMYFUNCTION("""COMPUTED_VALUE"""),"")</f>
        <v/>
      </c>
    </row>
    <row r="916" spans="1:8" ht="12.75">
      <c r="A916" s="36" t="str">
        <f ca="1">IFERROR(__xludf.DUMMYFUNCTION("""COMPUTED_VALUE"""),"")</f>
        <v/>
      </c>
      <c r="B916" s="37"/>
      <c r="C916" s="54" t="str">
        <f ca="1">IFERROR(__xludf.DUMMYFUNCTION("""COMPUTED_VALUE"""),"")</f>
        <v/>
      </c>
      <c r="D916" s="54" t="str">
        <f ca="1">IFERROR(__xludf.DUMMYFUNCTION("""COMPUTED_VALUE"""),"")</f>
        <v/>
      </c>
      <c r="E916" s="55" t="str">
        <f ca="1">IFERROR(__xludf.DUMMYFUNCTION("""COMPUTED_VALUE"""),"")</f>
        <v/>
      </c>
      <c r="F916" s="54" t="str">
        <f ca="1">IFERROR(__xludf.DUMMYFUNCTION("""COMPUTED_VALUE"""),"")</f>
        <v/>
      </c>
      <c r="G916" s="38" t="str">
        <f ca="1">IFERROR(__xludf.DUMMYFUNCTION("""COMPUTED_VALUE"""),"")</f>
        <v/>
      </c>
      <c r="H916" s="38" t="str">
        <f ca="1">IFERROR(__xludf.DUMMYFUNCTION("""COMPUTED_VALUE"""),"")</f>
        <v/>
      </c>
    </row>
    <row r="917" spans="1:8" ht="12.75">
      <c r="A917" s="36" t="str">
        <f ca="1">IFERROR(__xludf.DUMMYFUNCTION("""COMPUTED_VALUE"""),"")</f>
        <v/>
      </c>
      <c r="B917" s="37"/>
      <c r="C917" s="54" t="str">
        <f ca="1">IFERROR(__xludf.DUMMYFUNCTION("""COMPUTED_VALUE"""),"")</f>
        <v/>
      </c>
      <c r="D917" s="54" t="str">
        <f ca="1">IFERROR(__xludf.DUMMYFUNCTION("""COMPUTED_VALUE"""),"")</f>
        <v/>
      </c>
      <c r="E917" s="55" t="str">
        <f ca="1">IFERROR(__xludf.DUMMYFUNCTION("""COMPUTED_VALUE"""),"")</f>
        <v/>
      </c>
      <c r="F917" s="54" t="str">
        <f ca="1">IFERROR(__xludf.DUMMYFUNCTION("""COMPUTED_VALUE"""),"")</f>
        <v/>
      </c>
      <c r="G917" s="38" t="str">
        <f ca="1">IFERROR(__xludf.DUMMYFUNCTION("""COMPUTED_VALUE"""),"")</f>
        <v/>
      </c>
      <c r="H917" s="38" t="str">
        <f ca="1">IFERROR(__xludf.DUMMYFUNCTION("""COMPUTED_VALUE"""),"")</f>
        <v/>
      </c>
    </row>
    <row r="918" spans="1:8" ht="12.75">
      <c r="A918" s="36" t="str">
        <f ca="1">IFERROR(__xludf.DUMMYFUNCTION("""COMPUTED_VALUE"""),"")</f>
        <v/>
      </c>
      <c r="B918" s="37"/>
      <c r="C918" s="54" t="str">
        <f ca="1">IFERROR(__xludf.DUMMYFUNCTION("""COMPUTED_VALUE"""),"")</f>
        <v/>
      </c>
      <c r="D918" s="54" t="str">
        <f ca="1">IFERROR(__xludf.DUMMYFUNCTION("""COMPUTED_VALUE"""),"")</f>
        <v/>
      </c>
      <c r="E918" s="55" t="str">
        <f ca="1">IFERROR(__xludf.DUMMYFUNCTION("""COMPUTED_VALUE"""),"")</f>
        <v/>
      </c>
      <c r="F918" s="54" t="str">
        <f ca="1">IFERROR(__xludf.DUMMYFUNCTION("""COMPUTED_VALUE"""),"")</f>
        <v/>
      </c>
      <c r="G918" s="38" t="str">
        <f ca="1">IFERROR(__xludf.DUMMYFUNCTION("""COMPUTED_VALUE"""),"")</f>
        <v/>
      </c>
      <c r="H918" s="38" t="str">
        <f ca="1">IFERROR(__xludf.DUMMYFUNCTION("""COMPUTED_VALUE"""),"")</f>
        <v/>
      </c>
    </row>
    <row r="919" spans="1:8" ht="12.75">
      <c r="A919" s="36" t="str">
        <f ca="1">IFERROR(__xludf.DUMMYFUNCTION("""COMPUTED_VALUE"""),"")</f>
        <v/>
      </c>
      <c r="B919" s="37"/>
      <c r="C919" s="54" t="str">
        <f ca="1">IFERROR(__xludf.DUMMYFUNCTION("""COMPUTED_VALUE"""),"")</f>
        <v/>
      </c>
      <c r="D919" s="54" t="str">
        <f ca="1">IFERROR(__xludf.DUMMYFUNCTION("""COMPUTED_VALUE"""),"")</f>
        <v/>
      </c>
      <c r="E919" s="55" t="str">
        <f ca="1">IFERROR(__xludf.DUMMYFUNCTION("""COMPUTED_VALUE"""),"")</f>
        <v/>
      </c>
      <c r="F919" s="54" t="str">
        <f ca="1">IFERROR(__xludf.DUMMYFUNCTION("""COMPUTED_VALUE"""),"")</f>
        <v/>
      </c>
      <c r="G919" s="38" t="str">
        <f ca="1">IFERROR(__xludf.DUMMYFUNCTION("""COMPUTED_VALUE"""),"")</f>
        <v/>
      </c>
      <c r="H919" s="38" t="str">
        <f ca="1">IFERROR(__xludf.DUMMYFUNCTION("""COMPUTED_VALUE"""),"")</f>
        <v/>
      </c>
    </row>
    <row r="920" spans="1:8" ht="12.75">
      <c r="A920" s="36" t="str">
        <f ca="1">IFERROR(__xludf.DUMMYFUNCTION("""COMPUTED_VALUE"""),"")</f>
        <v/>
      </c>
      <c r="B920" s="37"/>
      <c r="C920" s="54" t="str">
        <f ca="1">IFERROR(__xludf.DUMMYFUNCTION("""COMPUTED_VALUE"""),"")</f>
        <v/>
      </c>
      <c r="D920" s="54" t="str">
        <f ca="1">IFERROR(__xludf.DUMMYFUNCTION("""COMPUTED_VALUE"""),"")</f>
        <v/>
      </c>
      <c r="E920" s="55" t="str">
        <f ca="1">IFERROR(__xludf.DUMMYFUNCTION("""COMPUTED_VALUE"""),"")</f>
        <v/>
      </c>
      <c r="F920" s="54" t="str">
        <f ca="1">IFERROR(__xludf.DUMMYFUNCTION("""COMPUTED_VALUE"""),"")</f>
        <v/>
      </c>
      <c r="G920" s="38" t="str">
        <f ca="1">IFERROR(__xludf.DUMMYFUNCTION("""COMPUTED_VALUE"""),"")</f>
        <v/>
      </c>
      <c r="H920" s="38" t="str">
        <f ca="1">IFERROR(__xludf.DUMMYFUNCTION("""COMPUTED_VALUE"""),"")</f>
        <v/>
      </c>
    </row>
    <row r="921" spans="1:8" ht="12.75">
      <c r="A921" s="36" t="str">
        <f ca="1">IFERROR(__xludf.DUMMYFUNCTION("""COMPUTED_VALUE"""),"")</f>
        <v/>
      </c>
      <c r="B921" s="37"/>
      <c r="C921" s="54" t="str">
        <f ca="1">IFERROR(__xludf.DUMMYFUNCTION("""COMPUTED_VALUE"""),"")</f>
        <v/>
      </c>
      <c r="D921" s="54" t="str">
        <f ca="1">IFERROR(__xludf.DUMMYFUNCTION("""COMPUTED_VALUE"""),"")</f>
        <v/>
      </c>
      <c r="E921" s="55" t="str">
        <f ca="1">IFERROR(__xludf.DUMMYFUNCTION("""COMPUTED_VALUE"""),"")</f>
        <v/>
      </c>
      <c r="F921" s="54" t="str">
        <f ca="1">IFERROR(__xludf.DUMMYFUNCTION("""COMPUTED_VALUE"""),"")</f>
        <v/>
      </c>
      <c r="G921" s="38" t="str">
        <f ca="1">IFERROR(__xludf.DUMMYFUNCTION("""COMPUTED_VALUE"""),"")</f>
        <v/>
      </c>
      <c r="H921" s="38" t="str">
        <f ca="1">IFERROR(__xludf.DUMMYFUNCTION("""COMPUTED_VALUE"""),"")</f>
        <v/>
      </c>
    </row>
    <row r="922" spans="1:8" ht="12.75">
      <c r="A922" s="36" t="str">
        <f ca="1">IFERROR(__xludf.DUMMYFUNCTION("""COMPUTED_VALUE"""),"")</f>
        <v/>
      </c>
      <c r="B922" s="37"/>
      <c r="C922" s="54" t="str">
        <f ca="1">IFERROR(__xludf.DUMMYFUNCTION("""COMPUTED_VALUE"""),"")</f>
        <v/>
      </c>
      <c r="D922" s="54" t="str">
        <f ca="1">IFERROR(__xludf.DUMMYFUNCTION("""COMPUTED_VALUE"""),"")</f>
        <v/>
      </c>
      <c r="E922" s="55" t="str">
        <f ca="1">IFERROR(__xludf.DUMMYFUNCTION("""COMPUTED_VALUE"""),"")</f>
        <v/>
      </c>
      <c r="F922" s="54" t="str">
        <f ca="1">IFERROR(__xludf.DUMMYFUNCTION("""COMPUTED_VALUE"""),"")</f>
        <v/>
      </c>
      <c r="G922" s="38" t="str">
        <f ca="1">IFERROR(__xludf.DUMMYFUNCTION("""COMPUTED_VALUE"""),"")</f>
        <v/>
      </c>
      <c r="H922" s="38" t="str">
        <f ca="1">IFERROR(__xludf.DUMMYFUNCTION("""COMPUTED_VALUE"""),"")</f>
        <v/>
      </c>
    </row>
    <row r="923" spans="1:8" ht="12.75">
      <c r="A923" s="36" t="str">
        <f ca="1">IFERROR(__xludf.DUMMYFUNCTION("""COMPUTED_VALUE"""),"")</f>
        <v/>
      </c>
      <c r="B923" s="37"/>
      <c r="C923" s="54" t="str">
        <f ca="1">IFERROR(__xludf.DUMMYFUNCTION("""COMPUTED_VALUE"""),"")</f>
        <v/>
      </c>
      <c r="D923" s="54" t="str">
        <f ca="1">IFERROR(__xludf.DUMMYFUNCTION("""COMPUTED_VALUE"""),"")</f>
        <v/>
      </c>
      <c r="E923" s="55" t="str">
        <f ca="1">IFERROR(__xludf.DUMMYFUNCTION("""COMPUTED_VALUE"""),"")</f>
        <v/>
      </c>
      <c r="F923" s="54" t="str">
        <f ca="1">IFERROR(__xludf.DUMMYFUNCTION("""COMPUTED_VALUE"""),"")</f>
        <v/>
      </c>
      <c r="G923" s="38" t="str">
        <f ca="1">IFERROR(__xludf.DUMMYFUNCTION("""COMPUTED_VALUE"""),"")</f>
        <v/>
      </c>
      <c r="H923" s="38" t="str">
        <f ca="1">IFERROR(__xludf.DUMMYFUNCTION("""COMPUTED_VALUE"""),"")</f>
        <v/>
      </c>
    </row>
    <row r="924" spans="1:8" ht="12.75">
      <c r="A924" s="36" t="str">
        <f ca="1">IFERROR(__xludf.DUMMYFUNCTION("""COMPUTED_VALUE"""),"")</f>
        <v/>
      </c>
      <c r="B924" s="37"/>
      <c r="C924" s="54" t="str">
        <f ca="1">IFERROR(__xludf.DUMMYFUNCTION("""COMPUTED_VALUE"""),"")</f>
        <v/>
      </c>
      <c r="D924" s="54" t="str">
        <f ca="1">IFERROR(__xludf.DUMMYFUNCTION("""COMPUTED_VALUE"""),"")</f>
        <v/>
      </c>
      <c r="E924" s="55" t="str">
        <f ca="1">IFERROR(__xludf.DUMMYFUNCTION("""COMPUTED_VALUE"""),"")</f>
        <v/>
      </c>
      <c r="F924" s="54" t="str">
        <f ca="1">IFERROR(__xludf.DUMMYFUNCTION("""COMPUTED_VALUE"""),"")</f>
        <v/>
      </c>
      <c r="G924" s="38" t="str">
        <f ca="1">IFERROR(__xludf.DUMMYFUNCTION("""COMPUTED_VALUE"""),"")</f>
        <v/>
      </c>
      <c r="H924" s="38" t="str">
        <f ca="1">IFERROR(__xludf.DUMMYFUNCTION("""COMPUTED_VALUE"""),"")</f>
        <v/>
      </c>
    </row>
    <row r="925" spans="1:8" ht="12.75">
      <c r="A925" s="36" t="str">
        <f ca="1">IFERROR(__xludf.DUMMYFUNCTION("""COMPUTED_VALUE"""),"")</f>
        <v/>
      </c>
      <c r="B925" s="37"/>
      <c r="C925" s="54" t="str">
        <f ca="1">IFERROR(__xludf.DUMMYFUNCTION("""COMPUTED_VALUE"""),"")</f>
        <v/>
      </c>
      <c r="D925" s="54" t="str">
        <f ca="1">IFERROR(__xludf.DUMMYFUNCTION("""COMPUTED_VALUE"""),"")</f>
        <v/>
      </c>
      <c r="E925" s="55" t="str">
        <f ca="1">IFERROR(__xludf.DUMMYFUNCTION("""COMPUTED_VALUE"""),"")</f>
        <v/>
      </c>
      <c r="F925" s="54" t="str">
        <f ca="1">IFERROR(__xludf.DUMMYFUNCTION("""COMPUTED_VALUE"""),"")</f>
        <v/>
      </c>
      <c r="G925" s="38" t="str">
        <f ca="1">IFERROR(__xludf.DUMMYFUNCTION("""COMPUTED_VALUE"""),"")</f>
        <v/>
      </c>
      <c r="H925" s="38" t="str">
        <f ca="1">IFERROR(__xludf.DUMMYFUNCTION("""COMPUTED_VALUE"""),"")</f>
        <v/>
      </c>
    </row>
    <row r="926" spans="1:8" ht="12.75">
      <c r="A926" s="36" t="str">
        <f ca="1">IFERROR(__xludf.DUMMYFUNCTION("""COMPUTED_VALUE"""),"")</f>
        <v/>
      </c>
      <c r="B926" s="37"/>
      <c r="C926" s="54" t="str">
        <f ca="1">IFERROR(__xludf.DUMMYFUNCTION("""COMPUTED_VALUE"""),"")</f>
        <v/>
      </c>
      <c r="D926" s="54" t="str">
        <f ca="1">IFERROR(__xludf.DUMMYFUNCTION("""COMPUTED_VALUE"""),"")</f>
        <v/>
      </c>
      <c r="E926" s="55" t="str">
        <f ca="1">IFERROR(__xludf.DUMMYFUNCTION("""COMPUTED_VALUE"""),"")</f>
        <v/>
      </c>
      <c r="F926" s="54" t="str">
        <f ca="1">IFERROR(__xludf.DUMMYFUNCTION("""COMPUTED_VALUE"""),"")</f>
        <v/>
      </c>
      <c r="G926" s="38" t="str">
        <f ca="1">IFERROR(__xludf.DUMMYFUNCTION("""COMPUTED_VALUE"""),"")</f>
        <v/>
      </c>
      <c r="H926" s="38" t="str">
        <f ca="1">IFERROR(__xludf.DUMMYFUNCTION("""COMPUTED_VALUE"""),"")</f>
        <v/>
      </c>
    </row>
    <row r="927" spans="1:8" ht="12.75">
      <c r="A927" s="36" t="str">
        <f ca="1">IFERROR(__xludf.DUMMYFUNCTION("""COMPUTED_VALUE"""),"")</f>
        <v/>
      </c>
      <c r="B927" s="37"/>
      <c r="C927" s="54" t="str">
        <f ca="1">IFERROR(__xludf.DUMMYFUNCTION("""COMPUTED_VALUE"""),"")</f>
        <v/>
      </c>
      <c r="D927" s="54" t="str">
        <f ca="1">IFERROR(__xludf.DUMMYFUNCTION("""COMPUTED_VALUE"""),"")</f>
        <v/>
      </c>
      <c r="E927" s="55" t="str">
        <f ca="1">IFERROR(__xludf.DUMMYFUNCTION("""COMPUTED_VALUE"""),"")</f>
        <v/>
      </c>
      <c r="F927" s="54" t="str">
        <f ca="1">IFERROR(__xludf.DUMMYFUNCTION("""COMPUTED_VALUE"""),"")</f>
        <v/>
      </c>
      <c r="G927" s="38" t="str">
        <f ca="1">IFERROR(__xludf.DUMMYFUNCTION("""COMPUTED_VALUE"""),"")</f>
        <v/>
      </c>
      <c r="H927" s="38" t="str">
        <f ca="1">IFERROR(__xludf.DUMMYFUNCTION("""COMPUTED_VALUE"""),"")</f>
        <v/>
      </c>
    </row>
    <row r="928" spans="1:8" ht="12.75">
      <c r="A928" s="36" t="str">
        <f ca="1">IFERROR(__xludf.DUMMYFUNCTION("""COMPUTED_VALUE"""),"")</f>
        <v/>
      </c>
      <c r="B928" s="37"/>
      <c r="C928" s="54" t="str">
        <f ca="1">IFERROR(__xludf.DUMMYFUNCTION("""COMPUTED_VALUE"""),"")</f>
        <v/>
      </c>
      <c r="D928" s="54" t="str">
        <f ca="1">IFERROR(__xludf.DUMMYFUNCTION("""COMPUTED_VALUE"""),"")</f>
        <v/>
      </c>
      <c r="E928" s="55" t="str">
        <f ca="1">IFERROR(__xludf.DUMMYFUNCTION("""COMPUTED_VALUE"""),"")</f>
        <v/>
      </c>
      <c r="F928" s="54" t="str">
        <f ca="1">IFERROR(__xludf.DUMMYFUNCTION("""COMPUTED_VALUE"""),"")</f>
        <v/>
      </c>
      <c r="G928" s="38" t="str">
        <f ca="1">IFERROR(__xludf.DUMMYFUNCTION("""COMPUTED_VALUE"""),"")</f>
        <v/>
      </c>
      <c r="H928" s="38" t="str">
        <f ca="1">IFERROR(__xludf.DUMMYFUNCTION("""COMPUTED_VALUE"""),"")</f>
        <v/>
      </c>
    </row>
    <row r="929" spans="1:8" ht="12.75">
      <c r="A929" s="36" t="str">
        <f ca="1">IFERROR(__xludf.DUMMYFUNCTION("""COMPUTED_VALUE"""),"")</f>
        <v/>
      </c>
      <c r="B929" s="37"/>
      <c r="C929" s="54" t="str">
        <f ca="1">IFERROR(__xludf.DUMMYFUNCTION("""COMPUTED_VALUE"""),"")</f>
        <v/>
      </c>
      <c r="D929" s="54" t="str">
        <f ca="1">IFERROR(__xludf.DUMMYFUNCTION("""COMPUTED_VALUE"""),"")</f>
        <v/>
      </c>
      <c r="E929" s="55" t="str">
        <f ca="1">IFERROR(__xludf.DUMMYFUNCTION("""COMPUTED_VALUE"""),"")</f>
        <v/>
      </c>
      <c r="F929" s="54" t="str">
        <f ca="1">IFERROR(__xludf.DUMMYFUNCTION("""COMPUTED_VALUE"""),"")</f>
        <v/>
      </c>
      <c r="G929" s="38" t="str">
        <f ca="1">IFERROR(__xludf.DUMMYFUNCTION("""COMPUTED_VALUE"""),"")</f>
        <v/>
      </c>
      <c r="H929" s="38" t="str">
        <f ca="1">IFERROR(__xludf.DUMMYFUNCTION("""COMPUTED_VALUE"""),"")</f>
        <v/>
      </c>
    </row>
    <row r="930" spans="1:8" ht="12.75">
      <c r="A930" s="36" t="str">
        <f ca="1">IFERROR(__xludf.DUMMYFUNCTION("""COMPUTED_VALUE"""),"")</f>
        <v/>
      </c>
      <c r="B930" s="37"/>
      <c r="C930" s="54" t="str">
        <f ca="1">IFERROR(__xludf.DUMMYFUNCTION("""COMPUTED_VALUE"""),"")</f>
        <v/>
      </c>
      <c r="D930" s="54" t="str">
        <f ca="1">IFERROR(__xludf.DUMMYFUNCTION("""COMPUTED_VALUE"""),"")</f>
        <v/>
      </c>
      <c r="E930" s="55" t="str">
        <f ca="1">IFERROR(__xludf.DUMMYFUNCTION("""COMPUTED_VALUE"""),"")</f>
        <v/>
      </c>
      <c r="F930" s="54" t="str">
        <f ca="1">IFERROR(__xludf.DUMMYFUNCTION("""COMPUTED_VALUE"""),"")</f>
        <v/>
      </c>
      <c r="G930" s="38" t="str">
        <f ca="1">IFERROR(__xludf.DUMMYFUNCTION("""COMPUTED_VALUE"""),"")</f>
        <v/>
      </c>
      <c r="H930" s="38" t="str">
        <f ca="1">IFERROR(__xludf.DUMMYFUNCTION("""COMPUTED_VALUE"""),"")</f>
        <v/>
      </c>
    </row>
    <row r="931" spans="1:8" ht="12.75">
      <c r="A931" s="36" t="str">
        <f ca="1">IFERROR(__xludf.DUMMYFUNCTION("""COMPUTED_VALUE"""),"")</f>
        <v/>
      </c>
      <c r="B931" s="37"/>
      <c r="C931" s="54" t="str">
        <f ca="1">IFERROR(__xludf.DUMMYFUNCTION("""COMPUTED_VALUE"""),"")</f>
        <v/>
      </c>
      <c r="D931" s="54" t="str">
        <f ca="1">IFERROR(__xludf.DUMMYFUNCTION("""COMPUTED_VALUE"""),"")</f>
        <v/>
      </c>
      <c r="E931" s="55" t="str">
        <f ca="1">IFERROR(__xludf.DUMMYFUNCTION("""COMPUTED_VALUE"""),"")</f>
        <v/>
      </c>
      <c r="F931" s="54" t="str">
        <f ca="1">IFERROR(__xludf.DUMMYFUNCTION("""COMPUTED_VALUE"""),"")</f>
        <v/>
      </c>
      <c r="G931" s="38" t="str">
        <f ca="1">IFERROR(__xludf.DUMMYFUNCTION("""COMPUTED_VALUE"""),"")</f>
        <v/>
      </c>
      <c r="H931" s="38" t="str">
        <f ca="1">IFERROR(__xludf.DUMMYFUNCTION("""COMPUTED_VALUE"""),"")</f>
        <v/>
      </c>
    </row>
    <row r="932" spans="1:8" ht="12.75">
      <c r="A932" s="36" t="str">
        <f ca="1">IFERROR(__xludf.DUMMYFUNCTION("""COMPUTED_VALUE"""),"")</f>
        <v/>
      </c>
      <c r="B932" s="37"/>
      <c r="C932" s="54" t="str">
        <f ca="1">IFERROR(__xludf.DUMMYFUNCTION("""COMPUTED_VALUE"""),"")</f>
        <v/>
      </c>
      <c r="D932" s="54" t="str">
        <f ca="1">IFERROR(__xludf.DUMMYFUNCTION("""COMPUTED_VALUE"""),"")</f>
        <v/>
      </c>
      <c r="E932" s="55" t="str">
        <f ca="1">IFERROR(__xludf.DUMMYFUNCTION("""COMPUTED_VALUE"""),"")</f>
        <v/>
      </c>
      <c r="F932" s="54" t="str">
        <f ca="1">IFERROR(__xludf.DUMMYFUNCTION("""COMPUTED_VALUE"""),"")</f>
        <v/>
      </c>
      <c r="G932" s="38" t="str">
        <f ca="1">IFERROR(__xludf.DUMMYFUNCTION("""COMPUTED_VALUE"""),"")</f>
        <v/>
      </c>
      <c r="H932" s="38" t="str">
        <f ca="1">IFERROR(__xludf.DUMMYFUNCTION("""COMPUTED_VALUE"""),"")</f>
        <v/>
      </c>
    </row>
    <row r="933" spans="1:8" ht="12.75">
      <c r="A933" s="36" t="str">
        <f ca="1">IFERROR(__xludf.DUMMYFUNCTION("""COMPUTED_VALUE"""),"")</f>
        <v/>
      </c>
      <c r="B933" s="37"/>
      <c r="C933" s="54" t="str">
        <f ca="1">IFERROR(__xludf.DUMMYFUNCTION("""COMPUTED_VALUE"""),"")</f>
        <v/>
      </c>
      <c r="D933" s="54" t="str">
        <f ca="1">IFERROR(__xludf.DUMMYFUNCTION("""COMPUTED_VALUE"""),"")</f>
        <v/>
      </c>
      <c r="E933" s="55" t="str">
        <f ca="1">IFERROR(__xludf.DUMMYFUNCTION("""COMPUTED_VALUE"""),"")</f>
        <v/>
      </c>
      <c r="F933" s="54" t="str">
        <f ca="1">IFERROR(__xludf.DUMMYFUNCTION("""COMPUTED_VALUE"""),"")</f>
        <v/>
      </c>
      <c r="G933" s="38" t="str">
        <f ca="1">IFERROR(__xludf.DUMMYFUNCTION("""COMPUTED_VALUE"""),"")</f>
        <v/>
      </c>
      <c r="H933" s="38" t="str">
        <f ca="1">IFERROR(__xludf.DUMMYFUNCTION("""COMPUTED_VALUE"""),"")</f>
        <v/>
      </c>
    </row>
    <row r="934" spans="1:8" ht="12.75">
      <c r="A934" s="36" t="str">
        <f ca="1">IFERROR(__xludf.DUMMYFUNCTION("""COMPUTED_VALUE"""),"")</f>
        <v/>
      </c>
      <c r="B934" s="37"/>
      <c r="C934" s="54" t="str">
        <f ca="1">IFERROR(__xludf.DUMMYFUNCTION("""COMPUTED_VALUE"""),"")</f>
        <v/>
      </c>
      <c r="D934" s="54" t="str">
        <f ca="1">IFERROR(__xludf.DUMMYFUNCTION("""COMPUTED_VALUE"""),"")</f>
        <v/>
      </c>
      <c r="E934" s="55" t="str">
        <f ca="1">IFERROR(__xludf.DUMMYFUNCTION("""COMPUTED_VALUE"""),"")</f>
        <v/>
      </c>
      <c r="F934" s="54" t="str">
        <f ca="1">IFERROR(__xludf.DUMMYFUNCTION("""COMPUTED_VALUE"""),"")</f>
        <v/>
      </c>
      <c r="G934" s="38" t="str">
        <f ca="1">IFERROR(__xludf.DUMMYFUNCTION("""COMPUTED_VALUE"""),"")</f>
        <v/>
      </c>
      <c r="H934" s="38" t="str">
        <f ca="1">IFERROR(__xludf.DUMMYFUNCTION("""COMPUTED_VALUE"""),"")</f>
        <v/>
      </c>
    </row>
    <row r="935" spans="1:8" ht="12.75">
      <c r="A935" s="36" t="str">
        <f ca="1">IFERROR(__xludf.DUMMYFUNCTION("""COMPUTED_VALUE"""),"")</f>
        <v/>
      </c>
      <c r="B935" s="37"/>
      <c r="C935" s="54" t="str">
        <f ca="1">IFERROR(__xludf.DUMMYFUNCTION("""COMPUTED_VALUE"""),"")</f>
        <v/>
      </c>
      <c r="D935" s="54" t="str">
        <f ca="1">IFERROR(__xludf.DUMMYFUNCTION("""COMPUTED_VALUE"""),"")</f>
        <v/>
      </c>
      <c r="E935" s="55" t="str">
        <f ca="1">IFERROR(__xludf.DUMMYFUNCTION("""COMPUTED_VALUE"""),"")</f>
        <v/>
      </c>
      <c r="F935" s="54" t="str">
        <f ca="1">IFERROR(__xludf.DUMMYFUNCTION("""COMPUTED_VALUE"""),"")</f>
        <v/>
      </c>
      <c r="G935" s="38" t="str">
        <f ca="1">IFERROR(__xludf.DUMMYFUNCTION("""COMPUTED_VALUE"""),"")</f>
        <v/>
      </c>
      <c r="H935" s="38" t="str">
        <f ca="1">IFERROR(__xludf.DUMMYFUNCTION("""COMPUTED_VALUE"""),"")</f>
        <v/>
      </c>
    </row>
    <row r="936" spans="1:8" ht="12.75">
      <c r="A936" s="36" t="str">
        <f ca="1">IFERROR(__xludf.DUMMYFUNCTION("""COMPUTED_VALUE"""),"")</f>
        <v/>
      </c>
      <c r="B936" s="37"/>
      <c r="C936" s="54" t="str">
        <f ca="1">IFERROR(__xludf.DUMMYFUNCTION("""COMPUTED_VALUE"""),"")</f>
        <v/>
      </c>
      <c r="D936" s="54" t="str">
        <f ca="1">IFERROR(__xludf.DUMMYFUNCTION("""COMPUTED_VALUE"""),"")</f>
        <v/>
      </c>
      <c r="E936" s="55" t="str">
        <f ca="1">IFERROR(__xludf.DUMMYFUNCTION("""COMPUTED_VALUE"""),"")</f>
        <v/>
      </c>
      <c r="F936" s="54" t="str">
        <f ca="1">IFERROR(__xludf.DUMMYFUNCTION("""COMPUTED_VALUE"""),"")</f>
        <v/>
      </c>
      <c r="G936" s="38" t="str">
        <f ca="1">IFERROR(__xludf.DUMMYFUNCTION("""COMPUTED_VALUE"""),"")</f>
        <v/>
      </c>
      <c r="H936" s="38" t="str">
        <f ca="1">IFERROR(__xludf.DUMMYFUNCTION("""COMPUTED_VALUE"""),"")</f>
        <v/>
      </c>
    </row>
    <row r="937" spans="1:8" ht="12.75">
      <c r="A937" s="36" t="str">
        <f ca="1">IFERROR(__xludf.DUMMYFUNCTION("""COMPUTED_VALUE"""),"")</f>
        <v/>
      </c>
      <c r="B937" s="37"/>
      <c r="C937" s="54" t="str">
        <f ca="1">IFERROR(__xludf.DUMMYFUNCTION("""COMPUTED_VALUE"""),"")</f>
        <v/>
      </c>
      <c r="D937" s="54" t="str">
        <f ca="1">IFERROR(__xludf.DUMMYFUNCTION("""COMPUTED_VALUE"""),"")</f>
        <v/>
      </c>
      <c r="E937" s="55" t="str">
        <f ca="1">IFERROR(__xludf.DUMMYFUNCTION("""COMPUTED_VALUE"""),"")</f>
        <v/>
      </c>
      <c r="F937" s="54" t="str">
        <f ca="1">IFERROR(__xludf.DUMMYFUNCTION("""COMPUTED_VALUE"""),"")</f>
        <v/>
      </c>
      <c r="G937" s="38" t="str">
        <f ca="1">IFERROR(__xludf.DUMMYFUNCTION("""COMPUTED_VALUE"""),"")</f>
        <v/>
      </c>
      <c r="H937" s="38" t="str">
        <f ca="1">IFERROR(__xludf.DUMMYFUNCTION("""COMPUTED_VALUE"""),"")</f>
        <v/>
      </c>
    </row>
    <row r="938" spans="1:8" ht="12.75">
      <c r="A938" s="36" t="str">
        <f ca="1">IFERROR(__xludf.DUMMYFUNCTION("""COMPUTED_VALUE"""),"")</f>
        <v/>
      </c>
      <c r="B938" s="37"/>
      <c r="C938" s="54" t="str">
        <f ca="1">IFERROR(__xludf.DUMMYFUNCTION("""COMPUTED_VALUE"""),"")</f>
        <v/>
      </c>
      <c r="D938" s="54" t="str">
        <f ca="1">IFERROR(__xludf.DUMMYFUNCTION("""COMPUTED_VALUE"""),"")</f>
        <v/>
      </c>
      <c r="E938" s="55" t="str">
        <f ca="1">IFERROR(__xludf.DUMMYFUNCTION("""COMPUTED_VALUE"""),"")</f>
        <v/>
      </c>
      <c r="F938" s="54" t="str">
        <f ca="1">IFERROR(__xludf.DUMMYFUNCTION("""COMPUTED_VALUE"""),"")</f>
        <v/>
      </c>
      <c r="G938" s="38" t="str">
        <f ca="1">IFERROR(__xludf.DUMMYFUNCTION("""COMPUTED_VALUE"""),"")</f>
        <v/>
      </c>
      <c r="H938" s="38" t="str">
        <f ca="1">IFERROR(__xludf.DUMMYFUNCTION("""COMPUTED_VALUE"""),"")</f>
        <v/>
      </c>
    </row>
    <row r="939" spans="1:8" ht="12.75">
      <c r="A939" s="36" t="str">
        <f ca="1">IFERROR(__xludf.DUMMYFUNCTION("""COMPUTED_VALUE"""),"")</f>
        <v/>
      </c>
      <c r="B939" s="37"/>
      <c r="C939" s="54" t="str">
        <f ca="1">IFERROR(__xludf.DUMMYFUNCTION("""COMPUTED_VALUE"""),"")</f>
        <v/>
      </c>
      <c r="D939" s="54" t="str">
        <f ca="1">IFERROR(__xludf.DUMMYFUNCTION("""COMPUTED_VALUE"""),"")</f>
        <v/>
      </c>
      <c r="E939" s="55" t="str">
        <f ca="1">IFERROR(__xludf.DUMMYFUNCTION("""COMPUTED_VALUE"""),"")</f>
        <v/>
      </c>
      <c r="F939" s="54" t="str">
        <f ca="1">IFERROR(__xludf.DUMMYFUNCTION("""COMPUTED_VALUE"""),"")</f>
        <v/>
      </c>
      <c r="G939" s="38" t="str">
        <f ca="1">IFERROR(__xludf.DUMMYFUNCTION("""COMPUTED_VALUE"""),"")</f>
        <v/>
      </c>
      <c r="H939" s="38" t="str">
        <f ca="1">IFERROR(__xludf.DUMMYFUNCTION("""COMPUTED_VALUE"""),"")</f>
        <v/>
      </c>
    </row>
    <row r="940" spans="1:8" ht="12.75">
      <c r="A940" s="36" t="str">
        <f ca="1">IFERROR(__xludf.DUMMYFUNCTION("""COMPUTED_VALUE"""),"")</f>
        <v/>
      </c>
      <c r="B940" s="37"/>
      <c r="C940" s="54" t="str">
        <f ca="1">IFERROR(__xludf.DUMMYFUNCTION("""COMPUTED_VALUE"""),"")</f>
        <v/>
      </c>
      <c r="D940" s="54" t="str">
        <f ca="1">IFERROR(__xludf.DUMMYFUNCTION("""COMPUTED_VALUE"""),"")</f>
        <v/>
      </c>
      <c r="E940" s="55" t="str">
        <f ca="1">IFERROR(__xludf.DUMMYFUNCTION("""COMPUTED_VALUE"""),"")</f>
        <v/>
      </c>
      <c r="F940" s="54" t="str">
        <f ca="1">IFERROR(__xludf.DUMMYFUNCTION("""COMPUTED_VALUE"""),"")</f>
        <v/>
      </c>
      <c r="G940" s="38" t="str">
        <f ca="1">IFERROR(__xludf.DUMMYFUNCTION("""COMPUTED_VALUE"""),"")</f>
        <v/>
      </c>
      <c r="H940" s="38" t="str">
        <f ca="1">IFERROR(__xludf.DUMMYFUNCTION("""COMPUTED_VALUE"""),"")</f>
        <v/>
      </c>
    </row>
    <row r="941" spans="1:8" ht="12.75">
      <c r="A941" s="36" t="str">
        <f ca="1">IFERROR(__xludf.DUMMYFUNCTION("""COMPUTED_VALUE"""),"")</f>
        <v/>
      </c>
      <c r="B941" s="37"/>
      <c r="C941" s="54" t="str">
        <f ca="1">IFERROR(__xludf.DUMMYFUNCTION("""COMPUTED_VALUE"""),"")</f>
        <v/>
      </c>
      <c r="D941" s="54" t="str">
        <f ca="1">IFERROR(__xludf.DUMMYFUNCTION("""COMPUTED_VALUE"""),"")</f>
        <v/>
      </c>
      <c r="E941" s="55" t="str">
        <f ca="1">IFERROR(__xludf.DUMMYFUNCTION("""COMPUTED_VALUE"""),"")</f>
        <v/>
      </c>
      <c r="F941" s="54" t="str">
        <f ca="1">IFERROR(__xludf.DUMMYFUNCTION("""COMPUTED_VALUE"""),"")</f>
        <v/>
      </c>
      <c r="G941" s="38" t="str">
        <f ca="1">IFERROR(__xludf.DUMMYFUNCTION("""COMPUTED_VALUE"""),"")</f>
        <v/>
      </c>
      <c r="H941" s="38" t="str">
        <f ca="1">IFERROR(__xludf.DUMMYFUNCTION("""COMPUTED_VALUE"""),"")</f>
        <v/>
      </c>
    </row>
    <row r="942" spans="1:8" ht="12.75">
      <c r="A942" s="36" t="str">
        <f ca="1">IFERROR(__xludf.DUMMYFUNCTION("""COMPUTED_VALUE"""),"")</f>
        <v/>
      </c>
      <c r="B942" s="37"/>
      <c r="C942" s="54" t="str">
        <f ca="1">IFERROR(__xludf.DUMMYFUNCTION("""COMPUTED_VALUE"""),"")</f>
        <v/>
      </c>
      <c r="D942" s="54" t="str">
        <f ca="1">IFERROR(__xludf.DUMMYFUNCTION("""COMPUTED_VALUE"""),"")</f>
        <v/>
      </c>
      <c r="E942" s="55" t="str">
        <f ca="1">IFERROR(__xludf.DUMMYFUNCTION("""COMPUTED_VALUE"""),"")</f>
        <v/>
      </c>
      <c r="F942" s="54" t="str">
        <f ca="1">IFERROR(__xludf.DUMMYFUNCTION("""COMPUTED_VALUE"""),"")</f>
        <v/>
      </c>
      <c r="G942" s="38" t="str">
        <f ca="1">IFERROR(__xludf.DUMMYFUNCTION("""COMPUTED_VALUE"""),"")</f>
        <v/>
      </c>
      <c r="H942" s="38" t="str">
        <f ca="1">IFERROR(__xludf.DUMMYFUNCTION("""COMPUTED_VALUE"""),"")</f>
        <v/>
      </c>
    </row>
    <row r="943" spans="1:8" ht="12.75">
      <c r="A943" s="36" t="str">
        <f ca="1">IFERROR(__xludf.DUMMYFUNCTION("""COMPUTED_VALUE"""),"")</f>
        <v/>
      </c>
      <c r="B943" s="37"/>
      <c r="C943" s="54" t="str">
        <f ca="1">IFERROR(__xludf.DUMMYFUNCTION("""COMPUTED_VALUE"""),"")</f>
        <v/>
      </c>
      <c r="D943" s="54" t="str">
        <f ca="1">IFERROR(__xludf.DUMMYFUNCTION("""COMPUTED_VALUE"""),"")</f>
        <v/>
      </c>
      <c r="E943" s="55" t="str">
        <f ca="1">IFERROR(__xludf.DUMMYFUNCTION("""COMPUTED_VALUE"""),"")</f>
        <v/>
      </c>
      <c r="F943" s="54" t="str">
        <f ca="1">IFERROR(__xludf.DUMMYFUNCTION("""COMPUTED_VALUE"""),"")</f>
        <v/>
      </c>
      <c r="G943" s="38" t="str">
        <f ca="1">IFERROR(__xludf.DUMMYFUNCTION("""COMPUTED_VALUE"""),"")</f>
        <v/>
      </c>
      <c r="H943" s="38" t="str">
        <f ca="1">IFERROR(__xludf.DUMMYFUNCTION("""COMPUTED_VALUE"""),"")</f>
        <v/>
      </c>
    </row>
    <row r="944" spans="1:8" ht="12.75">
      <c r="A944" s="36" t="str">
        <f ca="1">IFERROR(__xludf.DUMMYFUNCTION("""COMPUTED_VALUE"""),"")</f>
        <v/>
      </c>
      <c r="B944" s="37"/>
      <c r="C944" s="54" t="str">
        <f ca="1">IFERROR(__xludf.DUMMYFUNCTION("""COMPUTED_VALUE"""),"")</f>
        <v/>
      </c>
      <c r="D944" s="54" t="str">
        <f ca="1">IFERROR(__xludf.DUMMYFUNCTION("""COMPUTED_VALUE"""),"")</f>
        <v/>
      </c>
      <c r="E944" s="55" t="str">
        <f ca="1">IFERROR(__xludf.DUMMYFUNCTION("""COMPUTED_VALUE"""),"")</f>
        <v/>
      </c>
      <c r="F944" s="54" t="str">
        <f ca="1">IFERROR(__xludf.DUMMYFUNCTION("""COMPUTED_VALUE"""),"")</f>
        <v/>
      </c>
      <c r="G944" s="38" t="str">
        <f ca="1">IFERROR(__xludf.DUMMYFUNCTION("""COMPUTED_VALUE"""),"")</f>
        <v/>
      </c>
      <c r="H944" s="38" t="str">
        <f ca="1">IFERROR(__xludf.DUMMYFUNCTION("""COMPUTED_VALUE"""),"")</f>
        <v/>
      </c>
    </row>
    <row r="945" spans="1:8" ht="12.75">
      <c r="A945" s="36" t="str">
        <f ca="1">IFERROR(__xludf.DUMMYFUNCTION("""COMPUTED_VALUE"""),"")</f>
        <v/>
      </c>
      <c r="B945" s="37"/>
      <c r="C945" s="54" t="str">
        <f ca="1">IFERROR(__xludf.DUMMYFUNCTION("""COMPUTED_VALUE"""),"")</f>
        <v/>
      </c>
      <c r="D945" s="54" t="str">
        <f ca="1">IFERROR(__xludf.DUMMYFUNCTION("""COMPUTED_VALUE"""),"")</f>
        <v/>
      </c>
      <c r="E945" s="55" t="str">
        <f ca="1">IFERROR(__xludf.DUMMYFUNCTION("""COMPUTED_VALUE"""),"")</f>
        <v/>
      </c>
      <c r="F945" s="54" t="str">
        <f ca="1">IFERROR(__xludf.DUMMYFUNCTION("""COMPUTED_VALUE"""),"")</f>
        <v/>
      </c>
      <c r="G945" s="38" t="str">
        <f ca="1">IFERROR(__xludf.DUMMYFUNCTION("""COMPUTED_VALUE"""),"")</f>
        <v/>
      </c>
      <c r="H945" s="38" t="str">
        <f ca="1">IFERROR(__xludf.DUMMYFUNCTION("""COMPUTED_VALUE"""),"")</f>
        <v/>
      </c>
    </row>
    <row r="946" spans="1:8" ht="12.75">
      <c r="A946" s="36" t="str">
        <f ca="1">IFERROR(__xludf.DUMMYFUNCTION("""COMPUTED_VALUE"""),"")</f>
        <v/>
      </c>
      <c r="B946" s="37"/>
      <c r="C946" s="54" t="str">
        <f ca="1">IFERROR(__xludf.DUMMYFUNCTION("""COMPUTED_VALUE"""),"")</f>
        <v/>
      </c>
      <c r="D946" s="54" t="str">
        <f ca="1">IFERROR(__xludf.DUMMYFUNCTION("""COMPUTED_VALUE"""),"")</f>
        <v/>
      </c>
      <c r="E946" s="55" t="str">
        <f ca="1">IFERROR(__xludf.DUMMYFUNCTION("""COMPUTED_VALUE"""),"")</f>
        <v/>
      </c>
      <c r="F946" s="54" t="str">
        <f ca="1">IFERROR(__xludf.DUMMYFUNCTION("""COMPUTED_VALUE"""),"")</f>
        <v/>
      </c>
      <c r="G946" s="38" t="str">
        <f ca="1">IFERROR(__xludf.DUMMYFUNCTION("""COMPUTED_VALUE"""),"")</f>
        <v/>
      </c>
      <c r="H946" s="38" t="str">
        <f ca="1">IFERROR(__xludf.DUMMYFUNCTION("""COMPUTED_VALUE"""),"")</f>
        <v/>
      </c>
    </row>
    <row r="947" spans="1:8" ht="12.75">
      <c r="A947" s="36" t="str">
        <f ca="1">IFERROR(__xludf.DUMMYFUNCTION("""COMPUTED_VALUE"""),"")</f>
        <v/>
      </c>
      <c r="B947" s="37"/>
      <c r="C947" s="54" t="str">
        <f ca="1">IFERROR(__xludf.DUMMYFUNCTION("""COMPUTED_VALUE"""),"")</f>
        <v/>
      </c>
      <c r="D947" s="54" t="str">
        <f ca="1">IFERROR(__xludf.DUMMYFUNCTION("""COMPUTED_VALUE"""),"")</f>
        <v/>
      </c>
      <c r="E947" s="55" t="str">
        <f ca="1">IFERROR(__xludf.DUMMYFUNCTION("""COMPUTED_VALUE"""),"")</f>
        <v/>
      </c>
      <c r="F947" s="54" t="str">
        <f ca="1">IFERROR(__xludf.DUMMYFUNCTION("""COMPUTED_VALUE"""),"")</f>
        <v/>
      </c>
      <c r="G947" s="38" t="str">
        <f ca="1">IFERROR(__xludf.DUMMYFUNCTION("""COMPUTED_VALUE"""),"")</f>
        <v/>
      </c>
      <c r="H947" s="38" t="str">
        <f ca="1">IFERROR(__xludf.DUMMYFUNCTION("""COMPUTED_VALUE"""),"")</f>
        <v/>
      </c>
    </row>
    <row r="948" spans="1:8" ht="12.75">
      <c r="A948" s="36" t="str">
        <f ca="1">IFERROR(__xludf.DUMMYFUNCTION("""COMPUTED_VALUE"""),"")</f>
        <v/>
      </c>
      <c r="B948" s="37"/>
      <c r="C948" s="54" t="str">
        <f ca="1">IFERROR(__xludf.DUMMYFUNCTION("""COMPUTED_VALUE"""),"")</f>
        <v/>
      </c>
      <c r="D948" s="54" t="str">
        <f ca="1">IFERROR(__xludf.DUMMYFUNCTION("""COMPUTED_VALUE"""),"")</f>
        <v/>
      </c>
      <c r="E948" s="55" t="str">
        <f ca="1">IFERROR(__xludf.DUMMYFUNCTION("""COMPUTED_VALUE"""),"")</f>
        <v/>
      </c>
      <c r="F948" s="54" t="str">
        <f ca="1">IFERROR(__xludf.DUMMYFUNCTION("""COMPUTED_VALUE"""),"")</f>
        <v/>
      </c>
      <c r="G948" s="38" t="str">
        <f ca="1">IFERROR(__xludf.DUMMYFUNCTION("""COMPUTED_VALUE"""),"")</f>
        <v/>
      </c>
      <c r="H948" s="38" t="str">
        <f ca="1">IFERROR(__xludf.DUMMYFUNCTION("""COMPUTED_VALUE"""),"")</f>
        <v/>
      </c>
    </row>
    <row r="949" spans="1:8" ht="12.75">
      <c r="A949" s="36" t="str">
        <f ca="1">IFERROR(__xludf.DUMMYFUNCTION("""COMPUTED_VALUE"""),"")</f>
        <v/>
      </c>
      <c r="B949" s="37"/>
      <c r="C949" s="54" t="str">
        <f ca="1">IFERROR(__xludf.DUMMYFUNCTION("""COMPUTED_VALUE"""),"")</f>
        <v/>
      </c>
      <c r="D949" s="54" t="str">
        <f ca="1">IFERROR(__xludf.DUMMYFUNCTION("""COMPUTED_VALUE"""),"")</f>
        <v/>
      </c>
      <c r="E949" s="55" t="str">
        <f ca="1">IFERROR(__xludf.DUMMYFUNCTION("""COMPUTED_VALUE"""),"")</f>
        <v/>
      </c>
      <c r="F949" s="54" t="str">
        <f ca="1">IFERROR(__xludf.DUMMYFUNCTION("""COMPUTED_VALUE"""),"")</f>
        <v/>
      </c>
      <c r="G949" s="38" t="str">
        <f ca="1">IFERROR(__xludf.DUMMYFUNCTION("""COMPUTED_VALUE"""),"")</f>
        <v/>
      </c>
      <c r="H949" s="38" t="str">
        <f ca="1">IFERROR(__xludf.DUMMYFUNCTION("""COMPUTED_VALUE"""),"")</f>
        <v/>
      </c>
    </row>
    <row r="950" spans="1:8" ht="12.75">
      <c r="A950" s="36" t="str">
        <f ca="1">IFERROR(__xludf.DUMMYFUNCTION("""COMPUTED_VALUE"""),"")</f>
        <v/>
      </c>
      <c r="B950" s="37"/>
      <c r="C950" s="54" t="str">
        <f ca="1">IFERROR(__xludf.DUMMYFUNCTION("""COMPUTED_VALUE"""),"")</f>
        <v/>
      </c>
      <c r="D950" s="54" t="str">
        <f ca="1">IFERROR(__xludf.DUMMYFUNCTION("""COMPUTED_VALUE"""),"")</f>
        <v/>
      </c>
      <c r="E950" s="55" t="str">
        <f ca="1">IFERROR(__xludf.DUMMYFUNCTION("""COMPUTED_VALUE"""),"")</f>
        <v/>
      </c>
      <c r="F950" s="54" t="str">
        <f ca="1">IFERROR(__xludf.DUMMYFUNCTION("""COMPUTED_VALUE"""),"")</f>
        <v/>
      </c>
      <c r="G950" s="38" t="str">
        <f ca="1">IFERROR(__xludf.DUMMYFUNCTION("""COMPUTED_VALUE"""),"")</f>
        <v/>
      </c>
      <c r="H950" s="38" t="str">
        <f ca="1">IFERROR(__xludf.DUMMYFUNCTION("""COMPUTED_VALUE"""),"")</f>
        <v/>
      </c>
    </row>
    <row r="951" spans="1:8" ht="12.75">
      <c r="A951" s="36" t="str">
        <f ca="1">IFERROR(__xludf.DUMMYFUNCTION("""COMPUTED_VALUE"""),"")</f>
        <v/>
      </c>
      <c r="B951" s="37"/>
      <c r="C951" s="54" t="str">
        <f ca="1">IFERROR(__xludf.DUMMYFUNCTION("""COMPUTED_VALUE"""),"")</f>
        <v/>
      </c>
      <c r="D951" s="54" t="str">
        <f ca="1">IFERROR(__xludf.DUMMYFUNCTION("""COMPUTED_VALUE"""),"")</f>
        <v/>
      </c>
      <c r="E951" s="55" t="str">
        <f ca="1">IFERROR(__xludf.DUMMYFUNCTION("""COMPUTED_VALUE"""),"")</f>
        <v/>
      </c>
      <c r="F951" s="54" t="str">
        <f ca="1">IFERROR(__xludf.DUMMYFUNCTION("""COMPUTED_VALUE"""),"")</f>
        <v/>
      </c>
      <c r="G951" s="38" t="str">
        <f ca="1">IFERROR(__xludf.DUMMYFUNCTION("""COMPUTED_VALUE"""),"")</f>
        <v/>
      </c>
      <c r="H951" s="38" t="str">
        <f ca="1">IFERROR(__xludf.DUMMYFUNCTION("""COMPUTED_VALUE"""),"")</f>
        <v/>
      </c>
    </row>
    <row r="952" spans="1:8" ht="12.75">
      <c r="A952" s="36" t="str">
        <f ca="1">IFERROR(__xludf.DUMMYFUNCTION("""COMPUTED_VALUE"""),"")</f>
        <v/>
      </c>
      <c r="B952" s="37"/>
      <c r="C952" s="54" t="str">
        <f ca="1">IFERROR(__xludf.DUMMYFUNCTION("""COMPUTED_VALUE"""),"")</f>
        <v/>
      </c>
      <c r="D952" s="54" t="str">
        <f ca="1">IFERROR(__xludf.DUMMYFUNCTION("""COMPUTED_VALUE"""),"")</f>
        <v/>
      </c>
      <c r="E952" s="55" t="str">
        <f ca="1">IFERROR(__xludf.DUMMYFUNCTION("""COMPUTED_VALUE"""),"")</f>
        <v/>
      </c>
      <c r="F952" s="54" t="str">
        <f ca="1">IFERROR(__xludf.DUMMYFUNCTION("""COMPUTED_VALUE"""),"")</f>
        <v/>
      </c>
      <c r="G952" s="38" t="str">
        <f ca="1">IFERROR(__xludf.DUMMYFUNCTION("""COMPUTED_VALUE"""),"")</f>
        <v/>
      </c>
      <c r="H952" s="38" t="str">
        <f ca="1">IFERROR(__xludf.DUMMYFUNCTION("""COMPUTED_VALUE"""),"")</f>
        <v/>
      </c>
    </row>
    <row r="953" spans="1:8" ht="12.75">
      <c r="A953" s="36" t="str">
        <f ca="1">IFERROR(__xludf.DUMMYFUNCTION("""COMPUTED_VALUE"""),"")</f>
        <v/>
      </c>
      <c r="B953" s="37"/>
      <c r="C953" s="54" t="str">
        <f ca="1">IFERROR(__xludf.DUMMYFUNCTION("""COMPUTED_VALUE"""),"")</f>
        <v/>
      </c>
      <c r="D953" s="54" t="str">
        <f ca="1">IFERROR(__xludf.DUMMYFUNCTION("""COMPUTED_VALUE"""),"")</f>
        <v/>
      </c>
      <c r="E953" s="55" t="str">
        <f ca="1">IFERROR(__xludf.DUMMYFUNCTION("""COMPUTED_VALUE"""),"")</f>
        <v/>
      </c>
      <c r="F953" s="54" t="str">
        <f ca="1">IFERROR(__xludf.DUMMYFUNCTION("""COMPUTED_VALUE"""),"")</f>
        <v/>
      </c>
      <c r="G953" s="38" t="str">
        <f ca="1">IFERROR(__xludf.DUMMYFUNCTION("""COMPUTED_VALUE"""),"")</f>
        <v/>
      </c>
      <c r="H953" s="38" t="str">
        <f ca="1">IFERROR(__xludf.DUMMYFUNCTION("""COMPUTED_VALUE"""),"")</f>
        <v/>
      </c>
    </row>
    <row r="954" spans="1:8" ht="12.75">
      <c r="A954" s="36" t="str">
        <f ca="1">IFERROR(__xludf.DUMMYFUNCTION("""COMPUTED_VALUE"""),"")</f>
        <v/>
      </c>
      <c r="B954" s="37"/>
      <c r="C954" s="54" t="str">
        <f ca="1">IFERROR(__xludf.DUMMYFUNCTION("""COMPUTED_VALUE"""),"")</f>
        <v/>
      </c>
      <c r="D954" s="54" t="str">
        <f ca="1">IFERROR(__xludf.DUMMYFUNCTION("""COMPUTED_VALUE"""),"")</f>
        <v/>
      </c>
      <c r="E954" s="55" t="str">
        <f ca="1">IFERROR(__xludf.DUMMYFUNCTION("""COMPUTED_VALUE"""),"")</f>
        <v/>
      </c>
      <c r="F954" s="54" t="str">
        <f ca="1">IFERROR(__xludf.DUMMYFUNCTION("""COMPUTED_VALUE"""),"")</f>
        <v/>
      </c>
      <c r="G954" s="38" t="str">
        <f ca="1">IFERROR(__xludf.DUMMYFUNCTION("""COMPUTED_VALUE"""),"")</f>
        <v/>
      </c>
      <c r="H954" s="38" t="str">
        <f ca="1">IFERROR(__xludf.DUMMYFUNCTION("""COMPUTED_VALUE"""),"")</f>
        <v/>
      </c>
    </row>
    <row r="955" spans="1:8" ht="12.75">
      <c r="A955" s="36" t="str">
        <f ca="1">IFERROR(__xludf.DUMMYFUNCTION("""COMPUTED_VALUE"""),"")</f>
        <v/>
      </c>
      <c r="B955" s="37"/>
      <c r="C955" s="54" t="str">
        <f ca="1">IFERROR(__xludf.DUMMYFUNCTION("""COMPUTED_VALUE"""),"")</f>
        <v/>
      </c>
      <c r="D955" s="54" t="str">
        <f ca="1">IFERROR(__xludf.DUMMYFUNCTION("""COMPUTED_VALUE"""),"")</f>
        <v/>
      </c>
      <c r="E955" s="55" t="str">
        <f ca="1">IFERROR(__xludf.DUMMYFUNCTION("""COMPUTED_VALUE"""),"")</f>
        <v/>
      </c>
      <c r="F955" s="54" t="str">
        <f ca="1">IFERROR(__xludf.DUMMYFUNCTION("""COMPUTED_VALUE"""),"")</f>
        <v/>
      </c>
      <c r="G955" s="38" t="str">
        <f ca="1">IFERROR(__xludf.DUMMYFUNCTION("""COMPUTED_VALUE"""),"")</f>
        <v/>
      </c>
      <c r="H955" s="38" t="str">
        <f ca="1">IFERROR(__xludf.DUMMYFUNCTION("""COMPUTED_VALUE"""),"")</f>
        <v/>
      </c>
    </row>
    <row r="956" spans="1:8" ht="12.75">
      <c r="A956" s="36" t="str">
        <f ca="1">IFERROR(__xludf.DUMMYFUNCTION("""COMPUTED_VALUE"""),"")</f>
        <v/>
      </c>
      <c r="B956" s="37"/>
      <c r="C956" s="54" t="str">
        <f ca="1">IFERROR(__xludf.DUMMYFUNCTION("""COMPUTED_VALUE"""),"")</f>
        <v/>
      </c>
      <c r="D956" s="54" t="str">
        <f ca="1">IFERROR(__xludf.DUMMYFUNCTION("""COMPUTED_VALUE"""),"")</f>
        <v/>
      </c>
      <c r="E956" s="55" t="str">
        <f ca="1">IFERROR(__xludf.DUMMYFUNCTION("""COMPUTED_VALUE"""),"")</f>
        <v/>
      </c>
      <c r="F956" s="54" t="str">
        <f ca="1">IFERROR(__xludf.DUMMYFUNCTION("""COMPUTED_VALUE"""),"")</f>
        <v/>
      </c>
      <c r="G956" s="38" t="str">
        <f ca="1">IFERROR(__xludf.DUMMYFUNCTION("""COMPUTED_VALUE"""),"")</f>
        <v/>
      </c>
      <c r="H956" s="38" t="str">
        <f ca="1">IFERROR(__xludf.DUMMYFUNCTION("""COMPUTED_VALUE"""),"")</f>
        <v/>
      </c>
    </row>
    <row r="957" spans="1:8" ht="12.75">
      <c r="A957" s="36" t="str">
        <f ca="1">IFERROR(__xludf.DUMMYFUNCTION("""COMPUTED_VALUE"""),"")</f>
        <v/>
      </c>
      <c r="B957" s="37"/>
      <c r="C957" s="54" t="str">
        <f ca="1">IFERROR(__xludf.DUMMYFUNCTION("""COMPUTED_VALUE"""),"")</f>
        <v/>
      </c>
      <c r="D957" s="54" t="str">
        <f ca="1">IFERROR(__xludf.DUMMYFUNCTION("""COMPUTED_VALUE"""),"")</f>
        <v/>
      </c>
      <c r="E957" s="55" t="str">
        <f ca="1">IFERROR(__xludf.DUMMYFUNCTION("""COMPUTED_VALUE"""),"")</f>
        <v/>
      </c>
      <c r="F957" s="54" t="str">
        <f ca="1">IFERROR(__xludf.DUMMYFUNCTION("""COMPUTED_VALUE"""),"")</f>
        <v/>
      </c>
      <c r="G957" s="38" t="str">
        <f ca="1">IFERROR(__xludf.DUMMYFUNCTION("""COMPUTED_VALUE"""),"")</f>
        <v/>
      </c>
      <c r="H957" s="38" t="str">
        <f ca="1">IFERROR(__xludf.DUMMYFUNCTION("""COMPUTED_VALUE"""),"")</f>
        <v/>
      </c>
    </row>
    <row r="958" spans="1:8" ht="12.75">
      <c r="A958" s="36" t="str">
        <f ca="1">IFERROR(__xludf.DUMMYFUNCTION("""COMPUTED_VALUE"""),"")</f>
        <v/>
      </c>
      <c r="B958" s="37"/>
      <c r="C958" s="54" t="str">
        <f ca="1">IFERROR(__xludf.DUMMYFUNCTION("""COMPUTED_VALUE"""),"")</f>
        <v/>
      </c>
      <c r="D958" s="54" t="str">
        <f ca="1">IFERROR(__xludf.DUMMYFUNCTION("""COMPUTED_VALUE"""),"")</f>
        <v/>
      </c>
      <c r="E958" s="55" t="str">
        <f ca="1">IFERROR(__xludf.DUMMYFUNCTION("""COMPUTED_VALUE"""),"")</f>
        <v/>
      </c>
      <c r="F958" s="54" t="str">
        <f ca="1">IFERROR(__xludf.DUMMYFUNCTION("""COMPUTED_VALUE"""),"")</f>
        <v/>
      </c>
      <c r="G958" s="38" t="str">
        <f ca="1">IFERROR(__xludf.DUMMYFUNCTION("""COMPUTED_VALUE"""),"")</f>
        <v/>
      </c>
      <c r="H958" s="38" t="str">
        <f ca="1">IFERROR(__xludf.DUMMYFUNCTION("""COMPUTED_VALUE"""),"")</f>
        <v/>
      </c>
    </row>
    <row r="959" spans="1:8" ht="12.75">
      <c r="A959" s="36" t="str">
        <f ca="1">IFERROR(__xludf.DUMMYFUNCTION("""COMPUTED_VALUE"""),"")</f>
        <v/>
      </c>
      <c r="B959" s="37"/>
      <c r="C959" s="54" t="str">
        <f ca="1">IFERROR(__xludf.DUMMYFUNCTION("""COMPUTED_VALUE"""),"")</f>
        <v/>
      </c>
      <c r="D959" s="54" t="str">
        <f ca="1">IFERROR(__xludf.DUMMYFUNCTION("""COMPUTED_VALUE"""),"")</f>
        <v/>
      </c>
      <c r="E959" s="55" t="str">
        <f ca="1">IFERROR(__xludf.DUMMYFUNCTION("""COMPUTED_VALUE"""),"")</f>
        <v/>
      </c>
      <c r="F959" s="54" t="str">
        <f ca="1">IFERROR(__xludf.DUMMYFUNCTION("""COMPUTED_VALUE"""),"")</f>
        <v/>
      </c>
      <c r="G959" s="38" t="str">
        <f ca="1">IFERROR(__xludf.DUMMYFUNCTION("""COMPUTED_VALUE"""),"")</f>
        <v/>
      </c>
      <c r="H959" s="38" t="str">
        <f ca="1">IFERROR(__xludf.DUMMYFUNCTION("""COMPUTED_VALUE"""),"")</f>
        <v/>
      </c>
    </row>
    <row r="960" spans="1:8" ht="12.75">
      <c r="A960" s="36" t="str">
        <f ca="1">IFERROR(__xludf.DUMMYFUNCTION("""COMPUTED_VALUE"""),"")</f>
        <v/>
      </c>
      <c r="B960" s="37"/>
      <c r="C960" s="54" t="str">
        <f ca="1">IFERROR(__xludf.DUMMYFUNCTION("""COMPUTED_VALUE"""),"")</f>
        <v/>
      </c>
      <c r="D960" s="54" t="str">
        <f ca="1">IFERROR(__xludf.DUMMYFUNCTION("""COMPUTED_VALUE"""),"")</f>
        <v/>
      </c>
      <c r="E960" s="55" t="str">
        <f ca="1">IFERROR(__xludf.DUMMYFUNCTION("""COMPUTED_VALUE"""),"")</f>
        <v/>
      </c>
      <c r="F960" s="54" t="str">
        <f ca="1">IFERROR(__xludf.DUMMYFUNCTION("""COMPUTED_VALUE"""),"")</f>
        <v/>
      </c>
      <c r="G960" s="38" t="str">
        <f ca="1">IFERROR(__xludf.DUMMYFUNCTION("""COMPUTED_VALUE"""),"")</f>
        <v/>
      </c>
      <c r="H960" s="38" t="str">
        <f ca="1">IFERROR(__xludf.DUMMYFUNCTION("""COMPUTED_VALUE"""),"")</f>
        <v/>
      </c>
    </row>
    <row r="961" spans="1:8" ht="12.75">
      <c r="A961" s="36" t="str">
        <f ca="1">IFERROR(__xludf.DUMMYFUNCTION("""COMPUTED_VALUE"""),"")</f>
        <v/>
      </c>
      <c r="B961" s="37"/>
      <c r="C961" s="54" t="str">
        <f ca="1">IFERROR(__xludf.DUMMYFUNCTION("""COMPUTED_VALUE"""),"")</f>
        <v/>
      </c>
      <c r="D961" s="54" t="str">
        <f ca="1">IFERROR(__xludf.DUMMYFUNCTION("""COMPUTED_VALUE"""),"")</f>
        <v/>
      </c>
      <c r="E961" s="55" t="str">
        <f ca="1">IFERROR(__xludf.DUMMYFUNCTION("""COMPUTED_VALUE"""),"")</f>
        <v/>
      </c>
      <c r="F961" s="54" t="str">
        <f ca="1">IFERROR(__xludf.DUMMYFUNCTION("""COMPUTED_VALUE"""),"")</f>
        <v/>
      </c>
      <c r="G961" s="38" t="str">
        <f ca="1">IFERROR(__xludf.DUMMYFUNCTION("""COMPUTED_VALUE"""),"")</f>
        <v/>
      </c>
      <c r="H961" s="38" t="str">
        <f ca="1">IFERROR(__xludf.DUMMYFUNCTION("""COMPUTED_VALUE"""),"")</f>
        <v/>
      </c>
    </row>
    <row r="962" spans="1:8" ht="12.75">
      <c r="A962" s="36" t="str">
        <f ca="1">IFERROR(__xludf.DUMMYFUNCTION("""COMPUTED_VALUE"""),"")</f>
        <v/>
      </c>
      <c r="B962" s="37"/>
      <c r="C962" s="54" t="str">
        <f ca="1">IFERROR(__xludf.DUMMYFUNCTION("""COMPUTED_VALUE"""),"")</f>
        <v/>
      </c>
      <c r="D962" s="54" t="str">
        <f ca="1">IFERROR(__xludf.DUMMYFUNCTION("""COMPUTED_VALUE"""),"")</f>
        <v/>
      </c>
      <c r="E962" s="55" t="str">
        <f ca="1">IFERROR(__xludf.DUMMYFUNCTION("""COMPUTED_VALUE"""),"")</f>
        <v/>
      </c>
      <c r="F962" s="54" t="str">
        <f ca="1">IFERROR(__xludf.DUMMYFUNCTION("""COMPUTED_VALUE"""),"")</f>
        <v/>
      </c>
      <c r="G962" s="38" t="str">
        <f ca="1">IFERROR(__xludf.DUMMYFUNCTION("""COMPUTED_VALUE"""),"")</f>
        <v/>
      </c>
      <c r="H962" s="38" t="str">
        <f ca="1">IFERROR(__xludf.DUMMYFUNCTION("""COMPUTED_VALUE"""),"")</f>
        <v/>
      </c>
    </row>
    <row r="963" spans="1:8" ht="12.75">
      <c r="A963" s="36" t="str">
        <f ca="1">IFERROR(__xludf.DUMMYFUNCTION("""COMPUTED_VALUE"""),"")</f>
        <v/>
      </c>
      <c r="B963" s="37"/>
      <c r="C963" s="54" t="str">
        <f ca="1">IFERROR(__xludf.DUMMYFUNCTION("""COMPUTED_VALUE"""),"")</f>
        <v/>
      </c>
      <c r="D963" s="54" t="str">
        <f ca="1">IFERROR(__xludf.DUMMYFUNCTION("""COMPUTED_VALUE"""),"")</f>
        <v/>
      </c>
      <c r="E963" s="55" t="str">
        <f ca="1">IFERROR(__xludf.DUMMYFUNCTION("""COMPUTED_VALUE"""),"")</f>
        <v/>
      </c>
      <c r="F963" s="54" t="str">
        <f ca="1">IFERROR(__xludf.DUMMYFUNCTION("""COMPUTED_VALUE"""),"")</f>
        <v/>
      </c>
      <c r="G963" s="38" t="str">
        <f ca="1">IFERROR(__xludf.DUMMYFUNCTION("""COMPUTED_VALUE"""),"")</f>
        <v/>
      </c>
      <c r="H963" s="38" t="str">
        <f ca="1">IFERROR(__xludf.DUMMYFUNCTION("""COMPUTED_VALUE"""),"")</f>
        <v/>
      </c>
    </row>
    <row r="964" spans="1:8" ht="12.75">
      <c r="A964" s="36" t="str">
        <f ca="1">IFERROR(__xludf.DUMMYFUNCTION("""COMPUTED_VALUE"""),"")</f>
        <v/>
      </c>
      <c r="B964" s="37"/>
      <c r="C964" s="54" t="str">
        <f ca="1">IFERROR(__xludf.DUMMYFUNCTION("""COMPUTED_VALUE"""),"")</f>
        <v/>
      </c>
      <c r="D964" s="54" t="str">
        <f ca="1">IFERROR(__xludf.DUMMYFUNCTION("""COMPUTED_VALUE"""),"")</f>
        <v/>
      </c>
      <c r="E964" s="55" t="str">
        <f ca="1">IFERROR(__xludf.DUMMYFUNCTION("""COMPUTED_VALUE"""),"")</f>
        <v/>
      </c>
      <c r="F964" s="54" t="str">
        <f ca="1">IFERROR(__xludf.DUMMYFUNCTION("""COMPUTED_VALUE"""),"")</f>
        <v/>
      </c>
      <c r="G964" s="38" t="str">
        <f ca="1">IFERROR(__xludf.DUMMYFUNCTION("""COMPUTED_VALUE"""),"")</f>
        <v/>
      </c>
      <c r="H964" s="38" t="str">
        <f ca="1">IFERROR(__xludf.DUMMYFUNCTION("""COMPUTED_VALUE"""),"")</f>
        <v/>
      </c>
    </row>
    <row r="965" spans="1:8" ht="12.75">
      <c r="A965" s="36" t="str">
        <f ca="1">IFERROR(__xludf.DUMMYFUNCTION("""COMPUTED_VALUE"""),"")</f>
        <v/>
      </c>
      <c r="B965" s="37"/>
      <c r="C965" s="54" t="str">
        <f ca="1">IFERROR(__xludf.DUMMYFUNCTION("""COMPUTED_VALUE"""),"")</f>
        <v/>
      </c>
      <c r="D965" s="54" t="str">
        <f ca="1">IFERROR(__xludf.DUMMYFUNCTION("""COMPUTED_VALUE"""),"")</f>
        <v/>
      </c>
      <c r="E965" s="55" t="str">
        <f ca="1">IFERROR(__xludf.DUMMYFUNCTION("""COMPUTED_VALUE"""),"")</f>
        <v/>
      </c>
      <c r="F965" s="54" t="str">
        <f ca="1">IFERROR(__xludf.DUMMYFUNCTION("""COMPUTED_VALUE"""),"")</f>
        <v/>
      </c>
      <c r="G965" s="38" t="str">
        <f ca="1">IFERROR(__xludf.DUMMYFUNCTION("""COMPUTED_VALUE"""),"")</f>
        <v/>
      </c>
      <c r="H965" s="38" t="str">
        <f ca="1">IFERROR(__xludf.DUMMYFUNCTION("""COMPUTED_VALUE"""),"")</f>
        <v/>
      </c>
    </row>
    <row r="966" spans="1:8" ht="12.75">
      <c r="A966" s="36" t="str">
        <f ca="1">IFERROR(__xludf.DUMMYFUNCTION("""COMPUTED_VALUE"""),"")</f>
        <v/>
      </c>
      <c r="B966" s="37"/>
      <c r="C966" s="54" t="str">
        <f ca="1">IFERROR(__xludf.DUMMYFUNCTION("""COMPUTED_VALUE"""),"")</f>
        <v/>
      </c>
      <c r="D966" s="54" t="str">
        <f ca="1">IFERROR(__xludf.DUMMYFUNCTION("""COMPUTED_VALUE"""),"")</f>
        <v/>
      </c>
      <c r="E966" s="55" t="str">
        <f ca="1">IFERROR(__xludf.DUMMYFUNCTION("""COMPUTED_VALUE"""),"")</f>
        <v/>
      </c>
      <c r="F966" s="54" t="str">
        <f ca="1">IFERROR(__xludf.DUMMYFUNCTION("""COMPUTED_VALUE"""),"")</f>
        <v/>
      </c>
      <c r="G966" s="38" t="str">
        <f ca="1">IFERROR(__xludf.DUMMYFUNCTION("""COMPUTED_VALUE"""),"")</f>
        <v/>
      </c>
      <c r="H966" s="38" t="str">
        <f ca="1">IFERROR(__xludf.DUMMYFUNCTION("""COMPUTED_VALUE"""),"")</f>
        <v/>
      </c>
    </row>
    <row r="967" spans="1:8" ht="12.75">
      <c r="A967" s="36" t="str">
        <f ca="1">IFERROR(__xludf.DUMMYFUNCTION("""COMPUTED_VALUE"""),"")</f>
        <v/>
      </c>
      <c r="B967" s="37"/>
      <c r="C967" s="54" t="str">
        <f ca="1">IFERROR(__xludf.DUMMYFUNCTION("""COMPUTED_VALUE"""),"")</f>
        <v/>
      </c>
      <c r="D967" s="54" t="str">
        <f ca="1">IFERROR(__xludf.DUMMYFUNCTION("""COMPUTED_VALUE"""),"")</f>
        <v/>
      </c>
      <c r="E967" s="55" t="str">
        <f ca="1">IFERROR(__xludf.DUMMYFUNCTION("""COMPUTED_VALUE"""),"")</f>
        <v/>
      </c>
      <c r="F967" s="54" t="str">
        <f ca="1">IFERROR(__xludf.DUMMYFUNCTION("""COMPUTED_VALUE"""),"")</f>
        <v/>
      </c>
      <c r="G967" s="38" t="str">
        <f ca="1">IFERROR(__xludf.DUMMYFUNCTION("""COMPUTED_VALUE"""),"")</f>
        <v/>
      </c>
      <c r="H967" s="38" t="str">
        <f ca="1">IFERROR(__xludf.DUMMYFUNCTION("""COMPUTED_VALUE"""),"")</f>
        <v/>
      </c>
    </row>
    <row r="968" spans="1:8" ht="12.75">
      <c r="A968" s="36" t="str">
        <f ca="1">IFERROR(__xludf.DUMMYFUNCTION("""COMPUTED_VALUE"""),"")</f>
        <v/>
      </c>
      <c r="B968" s="37"/>
      <c r="C968" s="54" t="str">
        <f ca="1">IFERROR(__xludf.DUMMYFUNCTION("""COMPUTED_VALUE"""),"")</f>
        <v/>
      </c>
      <c r="D968" s="54" t="str">
        <f ca="1">IFERROR(__xludf.DUMMYFUNCTION("""COMPUTED_VALUE"""),"")</f>
        <v/>
      </c>
      <c r="E968" s="55" t="str">
        <f ca="1">IFERROR(__xludf.DUMMYFUNCTION("""COMPUTED_VALUE"""),"")</f>
        <v/>
      </c>
      <c r="F968" s="54" t="str">
        <f ca="1">IFERROR(__xludf.DUMMYFUNCTION("""COMPUTED_VALUE"""),"")</f>
        <v/>
      </c>
      <c r="G968" s="38" t="str">
        <f ca="1">IFERROR(__xludf.DUMMYFUNCTION("""COMPUTED_VALUE"""),"")</f>
        <v/>
      </c>
      <c r="H968" s="38" t="str">
        <f ca="1">IFERROR(__xludf.DUMMYFUNCTION("""COMPUTED_VALUE"""),"")</f>
        <v/>
      </c>
    </row>
    <row r="969" spans="1:8" ht="12.75">
      <c r="A969" s="36" t="str">
        <f ca="1">IFERROR(__xludf.DUMMYFUNCTION("""COMPUTED_VALUE"""),"")</f>
        <v/>
      </c>
      <c r="B969" s="37"/>
      <c r="C969" s="54" t="str">
        <f ca="1">IFERROR(__xludf.DUMMYFUNCTION("""COMPUTED_VALUE"""),"")</f>
        <v/>
      </c>
      <c r="D969" s="54" t="str">
        <f ca="1">IFERROR(__xludf.DUMMYFUNCTION("""COMPUTED_VALUE"""),"")</f>
        <v/>
      </c>
      <c r="E969" s="55" t="str">
        <f ca="1">IFERROR(__xludf.DUMMYFUNCTION("""COMPUTED_VALUE"""),"")</f>
        <v/>
      </c>
      <c r="F969" s="54" t="str">
        <f ca="1">IFERROR(__xludf.DUMMYFUNCTION("""COMPUTED_VALUE"""),"")</f>
        <v/>
      </c>
      <c r="G969" s="38" t="str">
        <f ca="1">IFERROR(__xludf.DUMMYFUNCTION("""COMPUTED_VALUE"""),"")</f>
        <v/>
      </c>
      <c r="H969" s="38" t="str">
        <f ca="1">IFERROR(__xludf.DUMMYFUNCTION("""COMPUTED_VALUE"""),"")</f>
        <v/>
      </c>
    </row>
    <row r="970" spans="1:8" ht="12.75">
      <c r="A970" s="36" t="str">
        <f ca="1">IFERROR(__xludf.DUMMYFUNCTION("""COMPUTED_VALUE"""),"")</f>
        <v/>
      </c>
      <c r="B970" s="37"/>
      <c r="C970" s="54" t="str">
        <f ca="1">IFERROR(__xludf.DUMMYFUNCTION("""COMPUTED_VALUE"""),"")</f>
        <v/>
      </c>
      <c r="D970" s="54" t="str">
        <f ca="1">IFERROR(__xludf.DUMMYFUNCTION("""COMPUTED_VALUE"""),"")</f>
        <v/>
      </c>
      <c r="E970" s="55" t="str">
        <f ca="1">IFERROR(__xludf.DUMMYFUNCTION("""COMPUTED_VALUE"""),"")</f>
        <v/>
      </c>
      <c r="F970" s="54" t="str">
        <f ca="1">IFERROR(__xludf.DUMMYFUNCTION("""COMPUTED_VALUE"""),"")</f>
        <v/>
      </c>
      <c r="G970" s="38" t="str">
        <f ca="1">IFERROR(__xludf.DUMMYFUNCTION("""COMPUTED_VALUE"""),"")</f>
        <v/>
      </c>
      <c r="H970" s="38" t="str">
        <f ca="1">IFERROR(__xludf.DUMMYFUNCTION("""COMPUTED_VALUE"""),"")</f>
        <v/>
      </c>
    </row>
    <row r="971" spans="1:8" ht="12.75">
      <c r="A971" s="36" t="str">
        <f ca="1">IFERROR(__xludf.DUMMYFUNCTION("""COMPUTED_VALUE"""),"")</f>
        <v/>
      </c>
      <c r="B971" s="37"/>
      <c r="C971" s="54" t="str">
        <f ca="1">IFERROR(__xludf.DUMMYFUNCTION("""COMPUTED_VALUE"""),"")</f>
        <v/>
      </c>
      <c r="D971" s="54" t="str">
        <f ca="1">IFERROR(__xludf.DUMMYFUNCTION("""COMPUTED_VALUE"""),"")</f>
        <v/>
      </c>
      <c r="E971" s="55" t="str">
        <f ca="1">IFERROR(__xludf.DUMMYFUNCTION("""COMPUTED_VALUE"""),"")</f>
        <v/>
      </c>
      <c r="F971" s="54" t="str">
        <f ca="1">IFERROR(__xludf.DUMMYFUNCTION("""COMPUTED_VALUE"""),"")</f>
        <v/>
      </c>
      <c r="G971" s="38" t="str">
        <f ca="1">IFERROR(__xludf.DUMMYFUNCTION("""COMPUTED_VALUE"""),"")</f>
        <v/>
      </c>
      <c r="H971" s="38" t="str">
        <f ca="1">IFERROR(__xludf.DUMMYFUNCTION("""COMPUTED_VALUE"""),"")</f>
        <v/>
      </c>
    </row>
    <row r="972" spans="1:8" ht="12.75">
      <c r="A972" s="36" t="str">
        <f ca="1">IFERROR(__xludf.DUMMYFUNCTION("""COMPUTED_VALUE"""),"")</f>
        <v/>
      </c>
      <c r="B972" s="37"/>
      <c r="C972" s="54" t="str">
        <f ca="1">IFERROR(__xludf.DUMMYFUNCTION("""COMPUTED_VALUE"""),"")</f>
        <v/>
      </c>
      <c r="D972" s="54" t="str">
        <f ca="1">IFERROR(__xludf.DUMMYFUNCTION("""COMPUTED_VALUE"""),"")</f>
        <v/>
      </c>
      <c r="E972" s="55" t="str">
        <f ca="1">IFERROR(__xludf.DUMMYFUNCTION("""COMPUTED_VALUE"""),"")</f>
        <v/>
      </c>
      <c r="F972" s="54" t="str">
        <f ca="1">IFERROR(__xludf.DUMMYFUNCTION("""COMPUTED_VALUE"""),"")</f>
        <v/>
      </c>
      <c r="G972" s="38" t="str">
        <f ca="1">IFERROR(__xludf.DUMMYFUNCTION("""COMPUTED_VALUE"""),"")</f>
        <v/>
      </c>
      <c r="H972" s="38" t="str">
        <f ca="1">IFERROR(__xludf.DUMMYFUNCTION("""COMPUTED_VALUE"""),"")</f>
        <v/>
      </c>
    </row>
    <row r="973" spans="1:8" ht="12.75">
      <c r="A973" s="36" t="str">
        <f ca="1">IFERROR(__xludf.DUMMYFUNCTION("""COMPUTED_VALUE"""),"")</f>
        <v/>
      </c>
      <c r="B973" s="37"/>
      <c r="C973" s="54" t="str">
        <f ca="1">IFERROR(__xludf.DUMMYFUNCTION("""COMPUTED_VALUE"""),"")</f>
        <v/>
      </c>
      <c r="D973" s="54" t="str">
        <f ca="1">IFERROR(__xludf.DUMMYFUNCTION("""COMPUTED_VALUE"""),"")</f>
        <v/>
      </c>
      <c r="E973" s="55" t="str">
        <f ca="1">IFERROR(__xludf.DUMMYFUNCTION("""COMPUTED_VALUE"""),"")</f>
        <v/>
      </c>
      <c r="F973" s="54" t="str">
        <f ca="1">IFERROR(__xludf.DUMMYFUNCTION("""COMPUTED_VALUE"""),"")</f>
        <v/>
      </c>
      <c r="G973" s="38" t="str">
        <f ca="1">IFERROR(__xludf.DUMMYFUNCTION("""COMPUTED_VALUE"""),"")</f>
        <v/>
      </c>
      <c r="H973" s="38" t="str">
        <f ca="1">IFERROR(__xludf.DUMMYFUNCTION("""COMPUTED_VALUE"""),"")</f>
        <v/>
      </c>
    </row>
    <row r="974" spans="1:8" ht="12.75">
      <c r="A974" s="36" t="str">
        <f ca="1">IFERROR(__xludf.DUMMYFUNCTION("""COMPUTED_VALUE"""),"")</f>
        <v/>
      </c>
      <c r="B974" s="37"/>
      <c r="C974" s="54" t="str">
        <f ca="1">IFERROR(__xludf.DUMMYFUNCTION("""COMPUTED_VALUE"""),"")</f>
        <v/>
      </c>
      <c r="D974" s="54" t="str">
        <f ca="1">IFERROR(__xludf.DUMMYFUNCTION("""COMPUTED_VALUE"""),"")</f>
        <v/>
      </c>
      <c r="E974" s="55" t="str">
        <f ca="1">IFERROR(__xludf.DUMMYFUNCTION("""COMPUTED_VALUE"""),"")</f>
        <v/>
      </c>
      <c r="F974" s="54" t="str">
        <f ca="1">IFERROR(__xludf.DUMMYFUNCTION("""COMPUTED_VALUE"""),"")</f>
        <v/>
      </c>
      <c r="G974" s="38" t="str">
        <f ca="1">IFERROR(__xludf.DUMMYFUNCTION("""COMPUTED_VALUE"""),"")</f>
        <v/>
      </c>
      <c r="H974" s="38" t="str">
        <f ca="1">IFERROR(__xludf.DUMMYFUNCTION("""COMPUTED_VALUE"""),"")</f>
        <v/>
      </c>
    </row>
    <row r="975" spans="1:8" ht="12.75">
      <c r="A975" s="36" t="str">
        <f ca="1">IFERROR(__xludf.DUMMYFUNCTION("""COMPUTED_VALUE"""),"")</f>
        <v/>
      </c>
      <c r="B975" s="37"/>
      <c r="C975" s="54" t="str">
        <f ca="1">IFERROR(__xludf.DUMMYFUNCTION("""COMPUTED_VALUE"""),"")</f>
        <v/>
      </c>
      <c r="D975" s="54" t="str">
        <f ca="1">IFERROR(__xludf.DUMMYFUNCTION("""COMPUTED_VALUE"""),"")</f>
        <v/>
      </c>
      <c r="E975" s="55" t="str">
        <f ca="1">IFERROR(__xludf.DUMMYFUNCTION("""COMPUTED_VALUE"""),"")</f>
        <v/>
      </c>
      <c r="F975" s="54" t="str">
        <f ca="1">IFERROR(__xludf.DUMMYFUNCTION("""COMPUTED_VALUE"""),"")</f>
        <v/>
      </c>
      <c r="G975" s="38" t="str">
        <f ca="1">IFERROR(__xludf.DUMMYFUNCTION("""COMPUTED_VALUE"""),"")</f>
        <v/>
      </c>
      <c r="H975" s="38" t="str">
        <f ca="1">IFERROR(__xludf.DUMMYFUNCTION("""COMPUTED_VALUE"""),"")</f>
        <v/>
      </c>
    </row>
    <row r="976" spans="1:8" ht="12.75">
      <c r="A976" s="36" t="str">
        <f ca="1">IFERROR(__xludf.DUMMYFUNCTION("""COMPUTED_VALUE"""),"")</f>
        <v/>
      </c>
      <c r="B976" s="37"/>
      <c r="C976" s="54" t="str">
        <f ca="1">IFERROR(__xludf.DUMMYFUNCTION("""COMPUTED_VALUE"""),"")</f>
        <v/>
      </c>
      <c r="D976" s="54" t="str">
        <f ca="1">IFERROR(__xludf.DUMMYFUNCTION("""COMPUTED_VALUE"""),"")</f>
        <v/>
      </c>
      <c r="E976" s="55" t="str">
        <f ca="1">IFERROR(__xludf.DUMMYFUNCTION("""COMPUTED_VALUE"""),"")</f>
        <v/>
      </c>
      <c r="F976" s="54" t="str">
        <f ca="1">IFERROR(__xludf.DUMMYFUNCTION("""COMPUTED_VALUE"""),"")</f>
        <v/>
      </c>
      <c r="G976" s="38" t="str">
        <f ca="1">IFERROR(__xludf.DUMMYFUNCTION("""COMPUTED_VALUE"""),"")</f>
        <v/>
      </c>
      <c r="H976" s="38" t="str">
        <f ca="1">IFERROR(__xludf.DUMMYFUNCTION("""COMPUTED_VALUE"""),"")</f>
        <v/>
      </c>
    </row>
    <row r="977" spans="1:8" ht="12.75">
      <c r="A977" s="36" t="str">
        <f ca="1">IFERROR(__xludf.DUMMYFUNCTION("""COMPUTED_VALUE"""),"")</f>
        <v/>
      </c>
      <c r="B977" s="37"/>
      <c r="C977" s="54" t="str">
        <f ca="1">IFERROR(__xludf.DUMMYFUNCTION("""COMPUTED_VALUE"""),"")</f>
        <v/>
      </c>
      <c r="D977" s="54" t="str">
        <f ca="1">IFERROR(__xludf.DUMMYFUNCTION("""COMPUTED_VALUE"""),"")</f>
        <v/>
      </c>
      <c r="E977" s="55" t="str">
        <f ca="1">IFERROR(__xludf.DUMMYFUNCTION("""COMPUTED_VALUE"""),"")</f>
        <v/>
      </c>
      <c r="F977" s="54" t="str">
        <f ca="1">IFERROR(__xludf.DUMMYFUNCTION("""COMPUTED_VALUE"""),"")</f>
        <v/>
      </c>
      <c r="G977" s="38" t="str">
        <f ca="1">IFERROR(__xludf.DUMMYFUNCTION("""COMPUTED_VALUE"""),"")</f>
        <v/>
      </c>
      <c r="H977" s="38" t="str">
        <f ca="1">IFERROR(__xludf.DUMMYFUNCTION("""COMPUTED_VALUE"""),"")</f>
        <v/>
      </c>
    </row>
    <row r="978" spans="1:8" ht="12.75">
      <c r="A978" s="36" t="str">
        <f ca="1">IFERROR(__xludf.DUMMYFUNCTION("""COMPUTED_VALUE"""),"")</f>
        <v/>
      </c>
      <c r="B978" s="37"/>
      <c r="C978" s="54" t="str">
        <f ca="1">IFERROR(__xludf.DUMMYFUNCTION("""COMPUTED_VALUE"""),"")</f>
        <v/>
      </c>
      <c r="D978" s="54" t="str">
        <f ca="1">IFERROR(__xludf.DUMMYFUNCTION("""COMPUTED_VALUE"""),"")</f>
        <v/>
      </c>
      <c r="E978" s="55" t="str">
        <f ca="1">IFERROR(__xludf.DUMMYFUNCTION("""COMPUTED_VALUE"""),"")</f>
        <v/>
      </c>
      <c r="F978" s="54" t="str">
        <f ca="1">IFERROR(__xludf.DUMMYFUNCTION("""COMPUTED_VALUE"""),"")</f>
        <v/>
      </c>
      <c r="G978" s="38" t="str">
        <f ca="1">IFERROR(__xludf.DUMMYFUNCTION("""COMPUTED_VALUE"""),"")</f>
        <v/>
      </c>
      <c r="H978" s="38" t="str">
        <f ca="1">IFERROR(__xludf.DUMMYFUNCTION("""COMPUTED_VALUE"""),"")</f>
        <v/>
      </c>
    </row>
    <row r="979" spans="1:8" ht="12.75">
      <c r="A979" s="36" t="str">
        <f ca="1">IFERROR(__xludf.DUMMYFUNCTION("""COMPUTED_VALUE"""),"")</f>
        <v/>
      </c>
      <c r="B979" s="37"/>
      <c r="C979" s="54" t="str">
        <f ca="1">IFERROR(__xludf.DUMMYFUNCTION("""COMPUTED_VALUE"""),"")</f>
        <v/>
      </c>
      <c r="D979" s="54" t="str">
        <f ca="1">IFERROR(__xludf.DUMMYFUNCTION("""COMPUTED_VALUE"""),"")</f>
        <v/>
      </c>
      <c r="E979" s="55" t="str">
        <f ca="1">IFERROR(__xludf.DUMMYFUNCTION("""COMPUTED_VALUE"""),"")</f>
        <v/>
      </c>
      <c r="F979" s="54" t="str">
        <f ca="1">IFERROR(__xludf.DUMMYFUNCTION("""COMPUTED_VALUE"""),"")</f>
        <v/>
      </c>
      <c r="G979" s="38" t="str">
        <f ca="1">IFERROR(__xludf.DUMMYFUNCTION("""COMPUTED_VALUE"""),"")</f>
        <v/>
      </c>
      <c r="H979" s="38" t="str">
        <f ca="1">IFERROR(__xludf.DUMMYFUNCTION("""COMPUTED_VALUE"""),"")</f>
        <v/>
      </c>
    </row>
    <row r="980" spans="1:8" ht="12.75">
      <c r="A980" s="36" t="str">
        <f ca="1">IFERROR(__xludf.DUMMYFUNCTION("""COMPUTED_VALUE"""),"")</f>
        <v/>
      </c>
      <c r="B980" s="37"/>
      <c r="C980" s="54" t="str">
        <f ca="1">IFERROR(__xludf.DUMMYFUNCTION("""COMPUTED_VALUE"""),"")</f>
        <v/>
      </c>
      <c r="D980" s="54" t="str">
        <f ca="1">IFERROR(__xludf.DUMMYFUNCTION("""COMPUTED_VALUE"""),"")</f>
        <v/>
      </c>
      <c r="E980" s="55" t="str">
        <f ca="1">IFERROR(__xludf.DUMMYFUNCTION("""COMPUTED_VALUE"""),"")</f>
        <v/>
      </c>
      <c r="F980" s="54" t="str">
        <f ca="1">IFERROR(__xludf.DUMMYFUNCTION("""COMPUTED_VALUE"""),"")</f>
        <v/>
      </c>
      <c r="G980" s="38" t="str">
        <f ca="1">IFERROR(__xludf.DUMMYFUNCTION("""COMPUTED_VALUE"""),"")</f>
        <v/>
      </c>
      <c r="H980" s="38" t="str">
        <f ca="1">IFERROR(__xludf.DUMMYFUNCTION("""COMPUTED_VALUE"""),"")</f>
        <v/>
      </c>
    </row>
    <row r="981" spans="1:8" ht="12.75">
      <c r="A981" s="36" t="str">
        <f ca="1">IFERROR(__xludf.DUMMYFUNCTION("""COMPUTED_VALUE"""),"")</f>
        <v/>
      </c>
      <c r="B981" s="37"/>
      <c r="C981" s="54" t="str">
        <f ca="1">IFERROR(__xludf.DUMMYFUNCTION("""COMPUTED_VALUE"""),"")</f>
        <v/>
      </c>
      <c r="D981" s="54" t="str">
        <f ca="1">IFERROR(__xludf.DUMMYFUNCTION("""COMPUTED_VALUE"""),"")</f>
        <v/>
      </c>
      <c r="E981" s="55" t="str">
        <f ca="1">IFERROR(__xludf.DUMMYFUNCTION("""COMPUTED_VALUE"""),"")</f>
        <v/>
      </c>
      <c r="F981" s="54" t="str">
        <f ca="1">IFERROR(__xludf.DUMMYFUNCTION("""COMPUTED_VALUE"""),"")</f>
        <v/>
      </c>
      <c r="G981" s="38" t="str">
        <f ca="1">IFERROR(__xludf.DUMMYFUNCTION("""COMPUTED_VALUE"""),"")</f>
        <v/>
      </c>
      <c r="H981" s="38" t="str">
        <f ca="1">IFERROR(__xludf.DUMMYFUNCTION("""COMPUTED_VALUE"""),"")</f>
        <v/>
      </c>
    </row>
    <row r="982" spans="1:8" ht="12.75">
      <c r="A982" s="36" t="str">
        <f ca="1">IFERROR(__xludf.DUMMYFUNCTION("""COMPUTED_VALUE"""),"")</f>
        <v/>
      </c>
      <c r="B982" s="37"/>
      <c r="C982" s="54" t="str">
        <f ca="1">IFERROR(__xludf.DUMMYFUNCTION("""COMPUTED_VALUE"""),"")</f>
        <v/>
      </c>
      <c r="D982" s="54" t="str">
        <f ca="1">IFERROR(__xludf.DUMMYFUNCTION("""COMPUTED_VALUE"""),"")</f>
        <v/>
      </c>
      <c r="E982" s="55" t="str">
        <f ca="1">IFERROR(__xludf.DUMMYFUNCTION("""COMPUTED_VALUE"""),"")</f>
        <v/>
      </c>
      <c r="F982" s="54" t="str">
        <f ca="1">IFERROR(__xludf.DUMMYFUNCTION("""COMPUTED_VALUE"""),"")</f>
        <v/>
      </c>
      <c r="G982" s="38" t="str">
        <f ca="1">IFERROR(__xludf.DUMMYFUNCTION("""COMPUTED_VALUE"""),"")</f>
        <v/>
      </c>
      <c r="H982" s="38" t="str">
        <f ca="1">IFERROR(__xludf.DUMMYFUNCTION("""COMPUTED_VALUE"""),"")</f>
        <v/>
      </c>
    </row>
    <row r="983" spans="1:8" ht="12.75">
      <c r="A983" s="36" t="str">
        <f ca="1">IFERROR(__xludf.DUMMYFUNCTION("""COMPUTED_VALUE"""),"")</f>
        <v/>
      </c>
      <c r="B983" s="37"/>
      <c r="C983" s="54" t="str">
        <f ca="1">IFERROR(__xludf.DUMMYFUNCTION("""COMPUTED_VALUE"""),"")</f>
        <v/>
      </c>
      <c r="D983" s="54" t="str">
        <f ca="1">IFERROR(__xludf.DUMMYFUNCTION("""COMPUTED_VALUE"""),"")</f>
        <v/>
      </c>
      <c r="E983" s="55" t="str">
        <f ca="1">IFERROR(__xludf.DUMMYFUNCTION("""COMPUTED_VALUE"""),"")</f>
        <v/>
      </c>
      <c r="F983" s="54" t="str">
        <f ca="1">IFERROR(__xludf.DUMMYFUNCTION("""COMPUTED_VALUE"""),"")</f>
        <v/>
      </c>
      <c r="G983" s="38" t="str">
        <f ca="1">IFERROR(__xludf.DUMMYFUNCTION("""COMPUTED_VALUE"""),"")</f>
        <v/>
      </c>
      <c r="H983" s="38" t="str">
        <f ca="1">IFERROR(__xludf.DUMMYFUNCTION("""COMPUTED_VALUE"""),"")</f>
        <v/>
      </c>
    </row>
    <row r="984" spans="1:8" ht="12.75">
      <c r="A984" s="36" t="str">
        <f ca="1">IFERROR(__xludf.DUMMYFUNCTION("""COMPUTED_VALUE"""),"")</f>
        <v/>
      </c>
      <c r="B984" s="37"/>
      <c r="C984" s="54" t="str">
        <f ca="1">IFERROR(__xludf.DUMMYFUNCTION("""COMPUTED_VALUE"""),"")</f>
        <v/>
      </c>
      <c r="D984" s="54" t="str">
        <f ca="1">IFERROR(__xludf.DUMMYFUNCTION("""COMPUTED_VALUE"""),"")</f>
        <v/>
      </c>
      <c r="E984" s="55" t="str">
        <f ca="1">IFERROR(__xludf.DUMMYFUNCTION("""COMPUTED_VALUE"""),"")</f>
        <v/>
      </c>
      <c r="F984" s="54" t="str">
        <f ca="1">IFERROR(__xludf.DUMMYFUNCTION("""COMPUTED_VALUE"""),"")</f>
        <v/>
      </c>
      <c r="G984" s="38" t="str">
        <f ca="1">IFERROR(__xludf.DUMMYFUNCTION("""COMPUTED_VALUE"""),"")</f>
        <v/>
      </c>
      <c r="H984" s="38" t="str">
        <f ca="1">IFERROR(__xludf.DUMMYFUNCTION("""COMPUTED_VALUE"""),"")</f>
        <v/>
      </c>
    </row>
    <row r="985" spans="1:8" ht="12.75">
      <c r="A985" s="36" t="str">
        <f ca="1">IFERROR(__xludf.DUMMYFUNCTION("""COMPUTED_VALUE"""),"")</f>
        <v/>
      </c>
      <c r="B985" s="37"/>
      <c r="C985" s="54" t="str">
        <f ca="1">IFERROR(__xludf.DUMMYFUNCTION("""COMPUTED_VALUE"""),"")</f>
        <v/>
      </c>
      <c r="D985" s="54" t="str">
        <f ca="1">IFERROR(__xludf.DUMMYFUNCTION("""COMPUTED_VALUE"""),"")</f>
        <v/>
      </c>
      <c r="E985" s="55" t="str">
        <f ca="1">IFERROR(__xludf.DUMMYFUNCTION("""COMPUTED_VALUE"""),"")</f>
        <v/>
      </c>
      <c r="F985" s="54" t="str">
        <f ca="1">IFERROR(__xludf.DUMMYFUNCTION("""COMPUTED_VALUE"""),"")</f>
        <v/>
      </c>
      <c r="G985" s="38" t="str">
        <f ca="1">IFERROR(__xludf.DUMMYFUNCTION("""COMPUTED_VALUE"""),"")</f>
        <v/>
      </c>
      <c r="H985" s="38" t="str">
        <f ca="1">IFERROR(__xludf.DUMMYFUNCTION("""COMPUTED_VALUE"""),"")</f>
        <v/>
      </c>
    </row>
    <row r="986" spans="1:8" ht="12.75">
      <c r="A986" s="36" t="str">
        <f ca="1">IFERROR(__xludf.DUMMYFUNCTION("""COMPUTED_VALUE"""),"")</f>
        <v/>
      </c>
      <c r="B986" s="37"/>
      <c r="C986" s="54" t="str">
        <f ca="1">IFERROR(__xludf.DUMMYFUNCTION("""COMPUTED_VALUE"""),"")</f>
        <v/>
      </c>
      <c r="D986" s="54" t="str">
        <f ca="1">IFERROR(__xludf.DUMMYFUNCTION("""COMPUTED_VALUE"""),"")</f>
        <v/>
      </c>
      <c r="E986" s="55" t="str">
        <f ca="1">IFERROR(__xludf.DUMMYFUNCTION("""COMPUTED_VALUE"""),"")</f>
        <v/>
      </c>
      <c r="F986" s="54" t="str">
        <f ca="1">IFERROR(__xludf.DUMMYFUNCTION("""COMPUTED_VALUE"""),"")</f>
        <v/>
      </c>
      <c r="G986" s="38" t="str">
        <f ca="1">IFERROR(__xludf.DUMMYFUNCTION("""COMPUTED_VALUE"""),"")</f>
        <v/>
      </c>
      <c r="H986" s="38" t="str">
        <f ca="1">IFERROR(__xludf.DUMMYFUNCTION("""COMPUTED_VALUE"""),"")</f>
        <v/>
      </c>
    </row>
    <row r="987" spans="1:8" ht="12.75">
      <c r="A987" s="36" t="str">
        <f ca="1">IFERROR(__xludf.DUMMYFUNCTION("""COMPUTED_VALUE"""),"")</f>
        <v/>
      </c>
      <c r="B987" s="37"/>
      <c r="C987" s="54" t="str">
        <f ca="1">IFERROR(__xludf.DUMMYFUNCTION("""COMPUTED_VALUE"""),"")</f>
        <v/>
      </c>
      <c r="D987" s="54" t="str">
        <f ca="1">IFERROR(__xludf.DUMMYFUNCTION("""COMPUTED_VALUE"""),"")</f>
        <v/>
      </c>
      <c r="E987" s="55" t="str">
        <f ca="1">IFERROR(__xludf.DUMMYFUNCTION("""COMPUTED_VALUE"""),"")</f>
        <v/>
      </c>
      <c r="F987" s="54" t="str">
        <f ca="1">IFERROR(__xludf.DUMMYFUNCTION("""COMPUTED_VALUE"""),"")</f>
        <v/>
      </c>
      <c r="G987" s="38" t="str">
        <f ca="1">IFERROR(__xludf.DUMMYFUNCTION("""COMPUTED_VALUE"""),"")</f>
        <v/>
      </c>
      <c r="H987" s="38" t="str">
        <f ca="1">IFERROR(__xludf.DUMMYFUNCTION("""COMPUTED_VALUE"""),"")</f>
        <v/>
      </c>
    </row>
    <row r="988" spans="1:8" ht="12.75">
      <c r="A988" s="36" t="str">
        <f ca="1">IFERROR(__xludf.DUMMYFUNCTION("""COMPUTED_VALUE"""),"")</f>
        <v/>
      </c>
      <c r="B988" s="37"/>
      <c r="C988" s="54" t="str">
        <f ca="1">IFERROR(__xludf.DUMMYFUNCTION("""COMPUTED_VALUE"""),"")</f>
        <v/>
      </c>
      <c r="D988" s="54" t="str">
        <f ca="1">IFERROR(__xludf.DUMMYFUNCTION("""COMPUTED_VALUE"""),"")</f>
        <v/>
      </c>
      <c r="E988" s="55" t="str">
        <f ca="1">IFERROR(__xludf.DUMMYFUNCTION("""COMPUTED_VALUE"""),"")</f>
        <v/>
      </c>
      <c r="F988" s="54" t="str">
        <f ca="1">IFERROR(__xludf.DUMMYFUNCTION("""COMPUTED_VALUE"""),"")</f>
        <v/>
      </c>
      <c r="G988" s="38" t="str">
        <f ca="1">IFERROR(__xludf.DUMMYFUNCTION("""COMPUTED_VALUE"""),"")</f>
        <v/>
      </c>
      <c r="H988" s="38" t="str">
        <f ca="1">IFERROR(__xludf.DUMMYFUNCTION("""COMPUTED_VALUE"""),"")</f>
        <v/>
      </c>
    </row>
    <row r="989" spans="1:8" ht="12.75">
      <c r="A989" s="36" t="str">
        <f ca="1">IFERROR(__xludf.DUMMYFUNCTION("""COMPUTED_VALUE"""),"")</f>
        <v/>
      </c>
      <c r="B989" s="37"/>
      <c r="C989" s="54" t="str">
        <f ca="1">IFERROR(__xludf.DUMMYFUNCTION("""COMPUTED_VALUE"""),"")</f>
        <v/>
      </c>
      <c r="D989" s="54" t="str">
        <f ca="1">IFERROR(__xludf.DUMMYFUNCTION("""COMPUTED_VALUE"""),"")</f>
        <v/>
      </c>
      <c r="E989" s="55" t="str">
        <f ca="1">IFERROR(__xludf.DUMMYFUNCTION("""COMPUTED_VALUE"""),"")</f>
        <v/>
      </c>
      <c r="F989" s="54" t="str">
        <f ca="1">IFERROR(__xludf.DUMMYFUNCTION("""COMPUTED_VALUE"""),"")</f>
        <v/>
      </c>
      <c r="G989" s="38" t="str">
        <f ca="1">IFERROR(__xludf.DUMMYFUNCTION("""COMPUTED_VALUE"""),"")</f>
        <v/>
      </c>
      <c r="H989" s="38" t="str">
        <f ca="1">IFERROR(__xludf.DUMMYFUNCTION("""COMPUTED_VALUE"""),"")</f>
        <v/>
      </c>
    </row>
    <row r="990" spans="1:8" ht="12.75">
      <c r="A990" s="36" t="str">
        <f ca="1">IFERROR(__xludf.DUMMYFUNCTION("""COMPUTED_VALUE"""),"")</f>
        <v/>
      </c>
      <c r="B990" s="37"/>
      <c r="C990" s="54" t="str">
        <f ca="1">IFERROR(__xludf.DUMMYFUNCTION("""COMPUTED_VALUE"""),"")</f>
        <v/>
      </c>
      <c r="D990" s="54" t="str">
        <f ca="1">IFERROR(__xludf.DUMMYFUNCTION("""COMPUTED_VALUE"""),"")</f>
        <v/>
      </c>
      <c r="E990" s="55" t="str">
        <f ca="1">IFERROR(__xludf.DUMMYFUNCTION("""COMPUTED_VALUE"""),"")</f>
        <v/>
      </c>
      <c r="F990" s="54" t="str">
        <f ca="1">IFERROR(__xludf.DUMMYFUNCTION("""COMPUTED_VALUE"""),"")</f>
        <v/>
      </c>
      <c r="G990" s="38" t="str">
        <f ca="1">IFERROR(__xludf.DUMMYFUNCTION("""COMPUTED_VALUE"""),"")</f>
        <v/>
      </c>
      <c r="H990" s="38" t="str">
        <f ca="1">IFERROR(__xludf.DUMMYFUNCTION("""COMPUTED_VALUE"""),"")</f>
        <v/>
      </c>
    </row>
    <row r="991" spans="1:8" ht="12.75">
      <c r="A991" s="36" t="str">
        <f ca="1">IFERROR(__xludf.DUMMYFUNCTION("""COMPUTED_VALUE"""),"")</f>
        <v/>
      </c>
      <c r="B991" s="37"/>
      <c r="C991" s="54" t="str">
        <f ca="1">IFERROR(__xludf.DUMMYFUNCTION("""COMPUTED_VALUE"""),"")</f>
        <v/>
      </c>
      <c r="D991" s="54" t="str">
        <f ca="1">IFERROR(__xludf.DUMMYFUNCTION("""COMPUTED_VALUE"""),"")</f>
        <v/>
      </c>
      <c r="E991" s="55" t="str">
        <f ca="1">IFERROR(__xludf.DUMMYFUNCTION("""COMPUTED_VALUE"""),"")</f>
        <v/>
      </c>
      <c r="F991" s="54" t="str">
        <f ca="1">IFERROR(__xludf.DUMMYFUNCTION("""COMPUTED_VALUE"""),"")</f>
        <v/>
      </c>
      <c r="G991" s="38" t="str">
        <f ca="1">IFERROR(__xludf.DUMMYFUNCTION("""COMPUTED_VALUE"""),"")</f>
        <v/>
      </c>
      <c r="H991" s="38" t="str">
        <f ca="1">IFERROR(__xludf.DUMMYFUNCTION("""COMPUTED_VALUE"""),"")</f>
        <v/>
      </c>
    </row>
    <row r="992" spans="1:8" ht="12.75">
      <c r="A992" s="36" t="str">
        <f ca="1">IFERROR(__xludf.DUMMYFUNCTION("""COMPUTED_VALUE"""),"")</f>
        <v/>
      </c>
      <c r="B992" s="37"/>
      <c r="C992" s="54" t="str">
        <f ca="1">IFERROR(__xludf.DUMMYFUNCTION("""COMPUTED_VALUE"""),"")</f>
        <v/>
      </c>
      <c r="D992" s="54" t="str">
        <f ca="1">IFERROR(__xludf.DUMMYFUNCTION("""COMPUTED_VALUE"""),"")</f>
        <v/>
      </c>
      <c r="E992" s="55" t="str">
        <f ca="1">IFERROR(__xludf.DUMMYFUNCTION("""COMPUTED_VALUE"""),"")</f>
        <v/>
      </c>
      <c r="F992" s="54" t="str">
        <f ca="1">IFERROR(__xludf.DUMMYFUNCTION("""COMPUTED_VALUE"""),"")</f>
        <v/>
      </c>
      <c r="G992" s="38" t="str">
        <f ca="1">IFERROR(__xludf.DUMMYFUNCTION("""COMPUTED_VALUE"""),"")</f>
        <v/>
      </c>
      <c r="H992" s="38" t="str">
        <f ca="1">IFERROR(__xludf.DUMMYFUNCTION("""COMPUTED_VALUE"""),"")</f>
        <v/>
      </c>
    </row>
    <row r="993" spans="1:8" ht="12.75">
      <c r="A993" s="36" t="str">
        <f ca="1">IFERROR(__xludf.DUMMYFUNCTION("""COMPUTED_VALUE"""),"")</f>
        <v/>
      </c>
      <c r="B993" s="37"/>
      <c r="C993" s="54" t="str">
        <f ca="1">IFERROR(__xludf.DUMMYFUNCTION("""COMPUTED_VALUE"""),"")</f>
        <v/>
      </c>
      <c r="D993" s="54" t="str">
        <f ca="1">IFERROR(__xludf.DUMMYFUNCTION("""COMPUTED_VALUE"""),"")</f>
        <v/>
      </c>
      <c r="E993" s="55" t="str">
        <f ca="1">IFERROR(__xludf.DUMMYFUNCTION("""COMPUTED_VALUE"""),"")</f>
        <v/>
      </c>
      <c r="F993" s="54" t="str">
        <f ca="1">IFERROR(__xludf.DUMMYFUNCTION("""COMPUTED_VALUE"""),"")</f>
        <v/>
      </c>
      <c r="G993" s="38" t="str">
        <f ca="1">IFERROR(__xludf.DUMMYFUNCTION("""COMPUTED_VALUE"""),"")</f>
        <v/>
      </c>
      <c r="H993" s="38" t="str">
        <f ca="1">IFERROR(__xludf.DUMMYFUNCTION("""COMPUTED_VALUE"""),"")</f>
        <v/>
      </c>
    </row>
    <row r="994" spans="1:8" ht="12.75">
      <c r="A994" s="36" t="str">
        <f ca="1">IFERROR(__xludf.DUMMYFUNCTION("""COMPUTED_VALUE"""),"")</f>
        <v/>
      </c>
      <c r="B994" s="37"/>
      <c r="C994" s="54" t="str">
        <f ca="1">IFERROR(__xludf.DUMMYFUNCTION("""COMPUTED_VALUE"""),"")</f>
        <v/>
      </c>
      <c r="D994" s="54" t="str">
        <f ca="1">IFERROR(__xludf.DUMMYFUNCTION("""COMPUTED_VALUE"""),"")</f>
        <v/>
      </c>
      <c r="E994" s="55" t="str">
        <f ca="1">IFERROR(__xludf.DUMMYFUNCTION("""COMPUTED_VALUE"""),"")</f>
        <v/>
      </c>
      <c r="F994" s="54" t="str">
        <f ca="1">IFERROR(__xludf.DUMMYFUNCTION("""COMPUTED_VALUE"""),"")</f>
        <v/>
      </c>
      <c r="G994" s="38" t="str">
        <f ca="1">IFERROR(__xludf.DUMMYFUNCTION("""COMPUTED_VALUE"""),"")</f>
        <v/>
      </c>
      <c r="H994" s="38" t="str">
        <f ca="1">IFERROR(__xludf.DUMMYFUNCTION("""COMPUTED_VALUE"""),"")</f>
        <v/>
      </c>
    </row>
    <row r="995" spans="1:8" ht="12.75">
      <c r="A995" s="36" t="str">
        <f ca="1">IFERROR(__xludf.DUMMYFUNCTION("""COMPUTED_VALUE"""),"")</f>
        <v/>
      </c>
      <c r="B995" s="37"/>
      <c r="C995" s="54" t="str">
        <f ca="1">IFERROR(__xludf.DUMMYFUNCTION("""COMPUTED_VALUE"""),"")</f>
        <v/>
      </c>
      <c r="D995" s="54" t="str">
        <f ca="1">IFERROR(__xludf.DUMMYFUNCTION("""COMPUTED_VALUE"""),"")</f>
        <v/>
      </c>
      <c r="E995" s="55" t="str">
        <f ca="1">IFERROR(__xludf.DUMMYFUNCTION("""COMPUTED_VALUE"""),"")</f>
        <v/>
      </c>
      <c r="F995" s="54" t="str">
        <f ca="1">IFERROR(__xludf.DUMMYFUNCTION("""COMPUTED_VALUE"""),"")</f>
        <v/>
      </c>
      <c r="G995" s="38" t="str">
        <f ca="1">IFERROR(__xludf.DUMMYFUNCTION("""COMPUTED_VALUE"""),"")</f>
        <v/>
      </c>
      <c r="H995" s="38" t="str">
        <f ca="1">IFERROR(__xludf.DUMMYFUNCTION("""COMPUTED_VALUE"""),"")</f>
        <v/>
      </c>
    </row>
    <row r="996" spans="1:8" ht="12.75">
      <c r="A996" s="36" t="str">
        <f ca="1">IFERROR(__xludf.DUMMYFUNCTION("""COMPUTED_VALUE"""),"")</f>
        <v/>
      </c>
      <c r="B996" s="37"/>
      <c r="C996" s="54" t="str">
        <f ca="1">IFERROR(__xludf.DUMMYFUNCTION("""COMPUTED_VALUE"""),"")</f>
        <v/>
      </c>
      <c r="D996" s="54" t="str">
        <f ca="1">IFERROR(__xludf.DUMMYFUNCTION("""COMPUTED_VALUE"""),"")</f>
        <v/>
      </c>
      <c r="E996" s="55" t="str">
        <f ca="1">IFERROR(__xludf.DUMMYFUNCTION("""COMPUTED_VALUE"""),"")</f>
        <v/>
      </c>
      <c r="F996" s="54" t="str">
        <f ca="1">IFERROR(__xludf.DUMMYFUNCTION("""COMPUTED_VALUE"""),"")</f>
        <v/>
      </c>
      <c r="G996" s="38" t="str">
        <f ca="1">IFERROR(__xludf.DUMMYFUNCTION("""COMPUTED_VALUE"""),"")</f>
        <v/>
      </c>
      <c r="H996" s="38" t="str">
        <f ca="1">IFERROR(__xludf.DUMMYFUNCTION("""COMPUTED_VALUE"""),"")</f>
        <v/>
      </c>
    </row>
    <row r="997" spans="1:8" ht="12.75">
      <c r="A997" s="36" t="str">
        <f ca="1">IFERROR(__xludf.DUMMYFUNCTION("""COMPUTED_VALUE"""),"")</f>
        <v/>
      </c>
      <c r="B997" s="37"/>
      <c r="C997" s="54" t="str">
        <f ca="1">IFERROR(__xludf.DUMMYFUNCTION("""COMPUTED_VALUE"""),"")</f>
        <v/>
      </c>
      <c r="D997" s="54" t="str">
        <f ca="1">IFERROR(__xludf.DUMMYFUNCTION("""COMPUTED_VALUE"""),"")</f>
        <v/>
      </c>
      <c r="E997" s="55" t="str">
        <f ca="1">IFERROR(__xludf.DUMMYFUNCTION("""COMPUTED_VALUE"""),"")</f>
        <v/>
      </c>
      <c r="F997" s="54" t="str">
        <f ca="1">IFERROR(__xludf.DUMMYFUNCTION("""COMPUTED_VALUE"""),"")</f>
        <v/>
      </c>
      <c r="G997" s="38" t="str">
        <f ca="1">IFERROR(__xludf.DUMMYFUNCTION("""COMPUTED_VALUE"""),"")</f>
        <v/>
      </c>
      <c r="H997" s="38" t="str">
        <f ca="1">IFERROR(__xludf.DUMMYFUNCTION("""COMPUTED_VALUE"""),"")</f>
        <v/>
      </c>
    </row>
    <row r="998" spans="1:8" ht="12.75">
      <c r="A998" s="36" t="str">
        <f ca="1">IFERROR(__xludf.DUMMYFUNCTION("""COMPUTED_VALUE"""),"")</f>
        <v/>
      </c>
      <c r="B998" s="37"/>
      <c r="C998" s="54" t="str">
        <f ca="1">IFERROR(__xludf.DUMMYFUNCTION("""COMPUTED_VALUE"""),"")</f>
        <v/>
      </c>
      <c r="D998" s="54" t="str">
        <f ca="1">IFERROR(__xludf.DUMMYFUNCTION("""COMPUTED_VALUE"""),"")</f>
        <v/>
      </c>
      <c r="E998" s="55" t="str">
        <f ca="1">IFERROR(__xludf.DUMMYFUNCTION("""COMPUTED_VALUE"""),"")</f>
        <v/>
      </c>
      <c r="F998" s="54" t="str">
        <f ca="1">IFERROR(__xludf.DUMMYFUNCTION("""COMPUTED_VALUE"""),"")</f>
        <v/>
      </c>
      <c r="G998" s="38" t="str">
        <f ca="1">IFERROR(__xludf.DUMMYFUNCTION("""COMPUTED_VALUE"""),"")</f>
        <v/>
      </c>
      <c r="H998" s="38" t="str">
        <f ca="1">IFERROR(__xludf.DUMMYFUNCTION("""COMPUTED_VALUE"""),"")</f>
        <v/>
      </c>
    </row>
    <row r="999" spans="1:8" ht="12.75">
      <c r="A999" s="36" t="str">
        <f ca="1">IFERROR(__xludf.DUMMYFUNCTION("""COMPUTED_VALUE"""),"")</f>
        <v/>
      </c>
      <c r="B999" s="37"/>
      <c r="C999" s="54" t="str">
        <f ca="1">IFERROR(__xludf.DUMMYFUNCTION("""COMPUTED_VALUE"""),"")</f>
        <v/>
      </c>
      <c r="D999" s="54" t="str">
        <f ca="1">IFERROR(__xludf.DUMMYFUNCTION("""COMPUTED_VALUE"""),"")</f>
        <v/>
      </c>
      <c r="E999" s="55" t="str">
        <f ca="1">IFERROR(__xludf.DUMMYFUNCTION("""COMPUTED_VALUE"""),"")</f>
        <v/>
      </c>
      <c r="F999" s="54" t="str">
        <f ca="1">IFERROR(__xludf.DUMMYFUNCTION("""COMPUTED_VALUE"""),"")</f>
        <v/>
      </c>
      <c r="G999" s="38" t="str">
        <f ca="1">IFERROR(__xludf.DUMMYFUNCTION("""COMPUTED_VALUE"""),"")</f>
        <v/>
      </c>
      <c r="H999" s="38" t="str">
        <f ca="1">IFERROR(__xludf.DUMMYFUNCTION("""COMPUTED_VALUE"""),"")</f>
        <v/>
      </c>
    </row>
    <row r="1000" spans="1:8" ht="12.75">
      <c r="A1000" s="36"/>
      <c r="B1000" s="37"/>
      <c r="C1000" s="54"/>
      <c r="D1000" s="54"/>
      <c r="E1000" s="55"/>
      <c r="F1000" s="54"/>
      <c r="G1000" s="38"/>
      <c r="H1000" s="38"/>
    </row>
    <row r="1001" spans="1:8" ht="12.75">
      <c r="A1001" s="36"/>
      <c r="B1001" s="37"/>
      <c r="C1001" s="54"/>
      <c r="D1001" s="54"/>
      <c r="E1001" s="55"/>
      <c r="F1001" s="54"/>
      <c r="G1001" s="38"/>
      <c r="H1001" s="38"/>
    </row>
    <row r="1002" spans="1:8" ht="12.75">
      <c r="A1002" s="36"/>
      <c r="B1002" s="37"/>
      <c r="C1002" s="54"/>
      <c r="D1002" s="54"/>
      <c r="E1002" s="55"/>
      <c r="F1002" s="54"/>
      <c r="G1002" s="38"/>
      <c r="H1002" s="38"/>
    </row>
    <row r="1003" spans="1:8" ht="12.75">
      <c r="A1003" s="36"/>
      <c r="B1003" s="37"/>
      <c r="C1003" s="54"/>
      <c r="D1003" s="54"/>
      <c r="E1003" s="55"/>
      <c r="F1003" s="54"/>
      <c r="G1003" s="38"/>
      <c r="H1003" s="38"/>
    </row>
    <row r="1004" spans="1:8" ht="12.75">
      <c r="A1004" s="36"/>
      <c r="B1004" s="37"/>
      <c r="C1004" s="54"/>
      <c r="D1004" s="54"/>
      <c r="E1004" s="55"/>
      <c r="F1004" s="54"/>
      <c r="G1004" s="38"/>
      <c r="H1004" s="38"/>
    </row>
    <row r="1005" spans="1:8" ht="12.75">
      <c r="A1005" s="36"/>
      <c r="B1005" s="37"/>
      <c r="C1005" s="54"/>
      <c r="D1005" s="54"/>
      <c r="E1005" s="55"/>
      <c r="F1005" s="54"/>
      <c r="G1005" s="38"/>
      <c r="H1005" s="38"/>
    </row>
    <row r="1006" spans="1:8" ht="12.75">
      <c r="A1006" s="36"/>
      <c r="B1006" s="37"/>
      <c r="C1006" s="54"/>
      <c r="D1006" s="54"/>
      <c r="E1006" s="55"/>
      <c r="F1006" s="54"/>
      <c r="G1006" s="38"/>
      <c r="H1006" s="38"/>
    </row>
    <row r="1007" spans="1:8" ht="12.75">
      <c r="A1007" s="36"/>
      <c r="B1007" s="37"/>
      <c r="C1007" s="54"/>
      <c r="D1007" s="54"/>
      <c r="E1007" s="55"/>
      <c r="F1007" s="54"/>
      <c r="G1007" s="38"/>
      <c r="H1007" s="38"/>
    </row>
    <row r="1008" spans="1:8" ht="12.75">
      <c r="A1008" s="36"/>
      <c r="B1008" s="37"/>
      <c r="C1008" s="54"/>
      <c r="D1008" s="54"/>
      <c r="E1008" s="55"/>
      <c r="F1008" s="54"/>
      <c r="G1008" s="38"/>
      <c r="H1008" s="38"/>
    </row>
    <row r="1009" spans="1:8" ht="12.75">
      <c r="A1009" s="36"/>
      <c r="B1009" s="37"/>
      <c r="C1009" s="54"/>
      <c r="D1009" s="54"/>
      <c r="E1009" s="55"/>
      <c r="F1009" s="54"/>
      <c r="G1009" s="38"/>
      <c r="H1009" s="38"/>
    </row>
    <row r="1010" spans="1:8" ht="12.75">
      <c r="A1010" s="36"/>
      <c r="B1010" s="37"/>
      <c r="C1010" s="54"/>
      <c r="D1010" s="54"/>
      <c r="E1010" s="55"/>
      <c r="F1010" s="54"/>
      <c r="G1010" s="38"/>
      <c r="H1010" s="38"/>
    </row>
    <row r="1011" spans="1:8" ht="12.75">
      <c r="A1011" s="36"/>
      <c r="B1011" s="37"/>
      <c r="C1011" s="54"/>
      <c r="D1011" s="54"/>
      <c r="E1011" s="55"/>
      <c r="F1011" s="54"/>
      <c r="G1011" s="38"/>
      <c r="H1011" s="38"/>
    </row>
    <row r="1012" spans="1:8" ht="12.75">
      <c r="A1012" s="36"/>
      <c r="B1012" s="37"/>
      <c r="C1012" s="54"/>
      <c r="D1012" s="54"/>
      <c r="E1012" s="55"/>
      <c r="F1012" s="54"/>
      <c r="G1012" s="38"/>
      <c r="H1012" s="38"/>
    </row>
    <row r="1013" spans="1:8" ht="12.75">
      <c r="A1013" s="36"/>
      <c r="B1013" s="37"/>
      <c r="C1013" s="54"/>
      <c r="D1013" s="54"/>
      <c r="E1013" s="55"/>
      <c r="F1013" s="54"/>
      <c r="G1013" s="38"/>
      <c r="H1013" s="38"/>
    </row>
    <row r="1014" spans="1:8" ht="12.75">
      <c r="A1014" s="36"/>
      <c r="B1014" s="37"/>
      <c r="C1014" s="54"/>
      <c r="D1014" s="54"/>
      <c r="E1014" s="55"/>
      <c r="F1014" s="54"/>
      <c r="G1014" s="38"/>
      <c r="H1014" s="38"/>
    </row>
    <row r="1015" spans="1:8" ht="12.75">
      <c r="A1015" s="36"/>
      <c r="B1015" s="37"/>
      <c r="C1015" s="54"/>
      <c r="D1015" s="54"/>
      <c r="E1015" s="55"/>
      <c r="F1015" s="54"/>
      <c r="G1015" s="38"/>
      <c r="H1015" s="38"/>
    </row>
    <row r="1016" spans="1:8" ht="12.75">
      <c r="A1016" s="36"/>
      <c r="B1016" s="37"/>
      <c r="C1016" s="54"/>
      <c r="D1016" s="54"/>
      <c r="E1016" s="55"/>
      <c r="F1016" s="54"/>
      <c r="G1016" s="38"/>
      <c r="H1016" s="38"/>
    </row>
    <row r="1017" spans="1:8" ht="12.75">
      <c r="A1017" s="36"/>
      <c r="B1017" s="37"/>
      <c r="C1017" s="54"/>
      <c r="D1017" s="54"/>
      <c r="E1017" s="55"/>
      <c r="F1017" s="54"/>
      <c r="G1017" s="38"/>
      <c r="H1017" s="38"/>
    </row>
    <row r="1018" spans="1:8" ht="12.75">
      <c r="A1018" s="36"/>
      <c r="B1018" s="37"/>
      <c r="C1018" s="54"/>
      <c r="D1018" s="54"/>
      <c r="E1018" s="55"/>
      <c r="F1018" s="54"/>
      <c r="G1018" s="38"/>
      <c r="H1018" s="38"/>
    </row>
    <row r="1019" spans="1:8" ht="12.75">
      <c r="A1019" s="36"/>
      <c r="B1019" s="37"/>
      <c r="C1019" s="54"/>
      <c r="D1019" s="54"/>
      <c r="E1019" s="55"/>
      <c r="F1019" s="54"/>
      <c r="G1019" s="38"/>
      <c r="H1019" s="38"/>
    </row>
    <row r="1020" spans="1:8" ht="12.75">
      <c r="A1020" s="36"/>
      <c r="B1020" s="37"/>
      <c r="C1020" s="54"/>
      <c r="D1020" s="54"/>
      <c r="E1020" s="55"/>
      <c r="F1020" s="54"/>
      <c r="G1020" s="38"/>
      <c r="H1020" s="38"/>
    </row>
    <row r="1021" spans="1:8" ht="12.75">
      <c r="A1021" s="36"/>
      <c r="B1021" s="37"/>
      <c r="C1021" s="54"/>
      <c r="D1021" s="54"/>
      <c r="E1021" s="55"/>
      <c r="F1021" s="54"/>
      <c r="G1021" s="38"/>
      <c r="H1021" s="38"/>
    </row>
    <row r="1022" spans="1:8" ht="12.75">
      <c r="A1022" s="36"/>
      <c r="B1022" s="37"/>
      <c r="C1022" s="54"/>
      <c r="D1022" s="54"/>
      <c r="E1022" s="55"/>
      <c r="F1022" s="54"/>
      <c r="G1022" s="38"/>
      <c r="H1022" s="38"/>
    </row>
    <row r="1023" spans="1:8" ht="12.75">
      <c r="A1023" s="36"/>
      <c r="B1023" s="37"/>
      <c r="C1023" s="54"/>
      <c r="D1023" s="54"/>
      <c r="E1023" s="55"/>
      <c r="F1023" s="54"/>
      <c r="G1023" s="38"/>
      <c r="H1023" s="38"/>
    </row>
    <row r="1024" spans="1:8" ht="12.75">
      <c r="A1024" s="36"/>
      <c r="B1024" s="37"/>
      <c r="C1024" s="54"/>
      <c r="D1024" s="54"/>
      <c r="E1024" s="55"/>
      <c r="F1024" s="54"/>
      <c r="G1024" s="38"/>
      <c r="H1024" s="38"/>
    </row>
    <row r="1025" spans="1:8" ht="12.75">
      <c r="A1025" s="36"/>
      <c r="B1025" s="37"/>
      <c r="C1025" s="54"/>
      <c r="D1025" s="54"/>
      <c r="E1025" s="55"/>
      <c r="F1025" s="54"/>
      <c r="G1025" s="38"/>
      <c r="H1025" s="38"/>
    </row>
    <row r="1026" spans="1:8" ht="12.75">
      <c r="A1026" s="36"/>
      <c r="B1026" s="37"/>
      <c r="C1026" s="54"/>
      <c r="D1026" s="54"/>
      <c r="E1026" s="55"/>
      <c r="F1026" s="54"/>
      <c r="G1026" s="38"/>
      <c r="H1026" s="38"/>
    </row>
    <row r="1027" spans="1:8" ht="12.75">
      <c r="A1027" s="36"/>
      <c r="B1027" s="37"/>
      <c r="C1027" s="54"/>
      <c r="D1027" s="54"/>
      <c r="E1027" s="55"/>
      <c r="F1027" s="54"/>
      <c r="G1027" s="38"/>
      <c r="H1027" s="38"/>
    </row>
    <row r="1028" spans="1:8" ht="12.75">
      <c r="A1028" s="36"/>
      <c r="B1028" s="37"/>
      <c r="C1028" s="54"/>
      <c r="D1028" s="54"/>
      <c r="E1028" s="55"/>
      <c r="F1028" s="54"/>
      <c r="G1028" s="38"/>
      <c r="H1028" s="38"/>
    </row>
    <row r="1029" spans="1:8" ht="12.75">
      <c r="A1029" s="36"/>
      <c r="B1029" s="37"/>
      <c r="C1029" s="54"/>
      <c r="D1029" s="54"/>
      <c r="E1029" s="55"/>
      <c r="F1029" s="54"/>
      <c r="G1029" s="38"/>
      <c r="H1029" s="38"/>
    </row>
    <row r="1030" spans="1:8" ht="12.75">
      <c r="A1030" s="36"/>
      <c r="B1030" s="37"/>
      <c r="C1030" s="54"/>
      <c r="D1030" s="54"/>
      <c r="E1030" s="55"/>
      <c r="F1030" s="54"/>
      <c r="G1030" s="38"/>
      <c r="H1030" s="38"/>
    </row>
    <row r="1031" spans="1:8" ht="12.75">
      <c r="A1031" s="36"/>
      <c r="B1031" s="37"/>
      <c r="C1031" s="54"/>
      <c r="D1031" s="54"/>
      <c r="E1031" s="55"/>
      <c r="F1031" s="54"/>
      <c r="G1031" s="38"/>
      <c r="H1031" s="38"/>
    </row>
    <row r="1032" spans="1:8" ht="12.75">
      <c r="A1032" s="36"/>
      <c r="B1032" s="37"/>
      <c r="C1032" s="54"/>
      <c r="D1032" s="54"/>
      <c r="E1032" s="55"/>
      <c r="F1032" s="54"/>
      <c r="G1032" s="38"/>
      <c r="H1032" s="38"/>
    </row>
    <row r="1033" spans="1:8" ht="12.75">
      <c r="A1033" s="36"/>
      <c r="B1033" s="37"/>
      <c r="C1033" s="54"/>
      <c r="D1033" s="54"/>
      <c r="E1033" s="55"/>
      <c r="F1033" s="54"/>
      <c r="G1033" s="38"/>
      <c r="H1033" s="38"/>
    </row>
    <row r="1034" spans="1:8" ht="12.75">
      <c r="A1034" s="36"/>
      <c r="B1034" s="37"/>
      <c r="C1034" s="54"/>
      <c r="D1034" s="54"/>
      <c r="E1034" s="55"/>
      <c r="F1034" s="54"/>
      <c r="G1034" s="38"/>
      <c r="H1034" s="38"/>
    </row>
    <row r="1035" spans="1:8" ht="12.75">
      <c r="A1035" s="36"/>
      <c r="B1035" s="37"/>
      <c r="C1035" s="54"/>
      <c r="D1035" s="54"/>
      <c r="E1035" s="55"/>
      <c r="F1035" s="54"/>
      <c r="G1035" s="38"/>
      <c r="H1035" s="38"/>
    </row>
    <row r="1036" spans="1:8" ht="12.75">
      <c r="A1036" s="36"/>
      <c r="B1036" s="37"/>
      <c r="C1036" s="54"/>
      <c r="D1036" s="54"/>
      <c r="E1036" s="55"/>
      <c r="F1036" s="54"/>
      <c r="G1036" s="38"/>
      <c r="H1036" s="38"/>
    </row>
    <row r="1037" spans="1:8" ht="12.75">
      <c r="A1037" s="36"/>
      <c r="B1037" s="37"/>
      <c r="C1037" s="54"/>
      <c r="D1037" s="54"/>
      <c r="E1037" s="55"/>
      <c r="F1037" s="54"/>
      <c r="G1037" s="38"/>
      <c r="H1037" s="38"/>
    </row>
    <row r="1038" spans="1:8" ht="12.75">
      <c r="A1038" s="36"/>
      <c r="B1038" s="37"/>
      <c r="C1038" s="54"/>
      <c r="D1038" s="54"/>
      <c r="E1038" s="55"/>
      <c r="F1038" s="54"/>
      <c r="G1038" s="38"/>
      <c r="H1038" s="38"/>
    </row>
    <row r="1039" spans="1:8" ht="12.75">
      <c r="A1039" s="36"/>
      <c r="B1039" s="37"/>
      <c r="C1039" s="54"/>
      <c r="D1039" s="54"/>
      <c r="E1039" s="55"/>
      <c r="F1039" s="54"/>
      <c r="G1039" s="38"/>
      <c r="H1039" s="38"/>
    </row>
    <row r="1040" spans="1:8" ht="12.75">
      <c r="A1040" s="36"/>
      <c r="B1040" s="37"/>
      <c r="C1040" s="54"/>
      <c r="D1040" s="54"/>
      <c r="E1040" s="55"/>
      <c r="F1040" s="54"/>
      <c r="G1040" s="38"/>
      <c r="H1040" s="38"/>
    </row>
    <row r="1041" spans="1:8" ht="12.75">
      <c r="A1041" s="36"/>
      <c r="B1041" s="37"/>
      <c r="C1041" s="54"/>
      <c r="D1041" s="54"/>
      <c r="E1041" s="55"/>
      <c r="F1041" s="54"/>
      <c r="G1041" s="38"/>
      <c r="H1041" s="38"/>
    </row>
    <row r="1042" spans="1:8" ht="12.75">
      <c r="A1042" s="36"/>
      <c r="B1042" s="37"/>
      <c r="C1042" s="54"/>
      <c r="D1042" s="54"/>
      <c r="E1042" s="55"/>
      <c r="F1042" s="54"/>
      <c r="G1042" s="38"/>
      <c r="H1042" s="38"/>
    </row>
    <row r="1043" spans="1:8" ht="12.75">
      <c r="A1043" s="36"/>
      <c r="B1043" s="37"/>
      <c r="C1043" s="54"/>
      <c r="D1043" s="54"/>
      <c r="E1043" s="55"/>
      <c r="F1043" s="54"/>
      <c r="G1043" s="38"/>
      <c r="H1043" s="38"/>
    </row>
    <row r="1044" spans="1:8" ht="12.75">
      <c r="A1044" s="36"/>
      <c r="B1044" s="37"/>
      <c r="C1044" s="54"/>
      <c r="D1044" s="54"/>
      <c r="E1044" s="55"/>
      <c r="F1044" s="54"/>
      <c r="G1044" s="38"/>
      <c r="H1044" s="38"/>
    </row>
    <row r="1045" spans="1:8" ht="12.75">
      <c r="A1045" s="36"/>
      <c r="B1045" s="37"/>
      <c r="C1045" s="54"/>
      <c r="D1045" s="54"/>
      <c r="E1045" s="55"/>
      <c r="F1045" s="54"/>
      <c r="G1045" s="38"/>
      <c r="H1045" s="38"/>
    </row>
    <row r="1046" spans="1:8" ht="12.75">
      <c r="A1046" s="36"/>
      <c r="B1046" s="37"/>
      <c r="C1046" s="54"/>
      <c r="D1046" s="54"/>
      <c r="E1046" s="55"/>
      <c r="F1046" s="54"/>
      <c r="G1046" s="38"/>
      <c r="H1046" s="38"/>
    </row>
    <row r="1047" spans="1:8" ht="12.75">
      <c r="A1047" s="36"/>
      <c r="B1047" s="37"/>
      <c r="C1047" s="54"/>
      <c r="D1047" s="54"/>
      <c r="E1047" s="55"/>
      <c r="F1047" s="54"/>
      <c r="G1047" s="38"/>
      <c r="H1047" s="38"/>
    </row>
    <row r="1048" spans="1:8" ht="12.75">
      <c r="A1048" s="36"/>
      <c r="B1048" s="37"/>
      <c r="C1048" s="54"/>
      <c r="D1048" s="54"/>
      <c r="E1048" s="55"/>
      <c r="F1048" s="54"/>
      <c r="G1048" s="38"/>
      <c r="H1048" s="38"/>
    </row>
    <row r="1049" spans="1:8" ht="12.75">
      <c r="A1049" s="36"/>
      <c r="B1049" s="37"/>
      <c r="C1049" s="54"/>
      <c r="D1049" s="54"/>
      <c r="E1049" s="55"/>
      <c r="F1049" s="54"/>
      <c r="G1049" s="38"/>
      <c r="H1049" s="38"/>
    </row>
    <row r="1050" spans="1:8" ht="12.75">
      <c r="A1050" s="36"/>
      <c r="B1050" s="37"/>
      <c r="C1050" s="54"/>
      <c r="D1050" s="54"/>
      <c r="E1050" s="55"/>
      <c r="F1050" s="54"/>
      <c r="G1050" s="38"/>
      <c r="H1050" s="38"/>
    </row>
    <row r="1051" spans="1:8" ht="12.75">
      <c r="A1051" s="36"/>
      <c r="B1051" s="37"/>
      <c r="C1051" s="54"/>
      <c r="D1051" s="54"/>
      <c r="E1051" s="55"/>
      <c r="F1051" s="54"/>
      <c r="G1051" s="38"/>
      <c r="H1051" s="38"/>
    </row>
    <row r="1052" spans="1:8" ht="12.75">
      <c r="A1052" s="36"/>
      <c r="B1052" s="37"/>
      <c r="C1052" s="54"/>
      <c r="D1052" s="54"/>
      <c r="E1052" s="55"/>
      <c r="F1052" s="54"/>
      <c r="G1052" s="38"/>
      <c r="H1052" s="38"/>
    </row>
    <row r="1053" spans="1:8" ht="12.75">
      <c r="A1053" s="36"/>
      <c r="B1053" s="37"/>
      <c r="C1053" s="54"/>
      <c r="D1053" s="54"/>
      <c r="E1053" s="55"/>
      <c r="F1053" s="54"/>
      <c r="G1053" s="38"/>
      <c r="H1053" s="38"/>
    </row>
    <row r="1054" spans="1:8" ht="12.75">
      <c r="A1054" s="36"/>
      <c r="B1054" s="37"/>
      <c r="C1054" s="54"/>
      <c r="D1054" s="54"/>
      <c r="E1054" s="55"/>
      <c r="F1054" s="54"/>
      <c r="G1054" s="38"/>
      <c r="H1054" s="38"/>
    </row>
    <row r="1055" spans="1:8" ht="12.75">
      <c r="A1055" s="36"/>
      <c r="B1055" s="37"/>
      <c r="C1055" s="54"/>
      <c r="D1055" s="54"/>
      <c r="E1055" s="55"/>
      <c r="F1055" s="54"/>
      <c r="G1055" s="38"/>
      <c r="H1055" s="38"/>
    </row>
    <row r="1056" spans="1:8" ht="12.75">
      <c r="A1056" s="36"/>
      <c r="B1056" s="37"/>
      <c r="C1056" s="54"/>
      <c r="D1056" s="54"/>
      <c r="E1056" s="55"/>
      <c r="F1056" s="54"/>
      <c r="G1056" s="38"/>
      <c r="H1056" s="38"/>
    </row>
    <row r="1057" spans="1:8" ht="12.75">
      <c r="A1057" s="36"/>
      <c r="B1057" s="37"/>
      <c r="C1057" s="54"/>
      <c r="D1057" s="54"/>
      <c r="E1057" s="55"/>
      <c r="F1057" s="54"/>
      <c r="G1057" s="38"/>
      <c r="H1057" s="38"/>
    </row>
    <row r="1058" spans="1:8" ht="12.75">
      <c r="A1058" s="36"/>
      <c r="B1058" s="37"/>
      <c r="C1058" s="54"/>
      <c r="D1058" s="54"/>
      <c r="E1058" s="55"/>
      <c r="F1058" s="54"/>
      <c r="G1058" s="38"/>
      <c r="H1058" s="38"/>
    </row>
    <row r="1059" spans="1:8" ht="12.75">
      <c r="A1059" s="36"/>
      <c r="B1059" s="37"/>
      <c r="C1059" s="54"/>
      <c r="D1059" s="54"/>
      <c r="E1059" s="55"/>
      <c r="F1059" s="54"/>
      <c r="G1059" s="38"/>
      <c r="H1059" s="38"/>
    </row>
    <row r="1060" spans="1:8" ht="12.75">
      <c r="A1060" s="36"/>
      <c r="B1060" s="37"/>
      <c r="C1060" s="54"/>
      <c r="D1060" s="54"/>
      <c r="E1060" s="55"/>
      <c r="F1060" s="54"/>
      <c r="G1060" s="38"/>
      <c r="H1060" s="38"/>
    </row>
    <row r="1061" spans="1:8" ht="12.75">
      <c r="A1061" s="36"/>
      <c r="B1061" s="37"/>
      <c r="C1061" s="54"/>
      <c r="D1061" s="54"/>
      <c r="E1061" s="55"/>
      <c r="F1061" s="54"/>
      <c r="G1061" s="38"/>
      <c r="H1061" s="38"/>
    </row>
    <row r="1062" spans="1:8" ht="12.75">
      <c r="A1062" s="36"/>
      <c r="B1062" s="37"/>
      <c r="C1062" s="54"/>
      <c r="D1062" s="54"/>
      <c r="E1062" s="55"/>
      <c r="F1062" s="54"/>
      <c r="G1062" s="38"/>
      <c r="H1062" s="38"/>
    </row>
    <row r="1063" spans="1:8" ht="12.75">
      <c r="A1063" s="36"/>
      <c r="B1063" s="37"/>
      <c r="C1063" s="54"/>
      <c r="D1063" s="54"/>
      <c r="E1063" s="55"/>
      <c r="F1063" s="54"/>
      <c r="G1063" s="38"/>
      <c r="H1063" s="38"/>
    </row>
    <row r="1064" spans="1:8" ht="12.75">
      <c r="A1064" s="36"/>
      <c r="B1064" s="37"/>
      <c r="C1064" s="54"/>
      <c r="D1064" s="54"/>
      <c r="E1064" s="55"/>
      <c r="F1064" s="54"/>
      <c r="G1064" s="38"/>
      <c r="H1064" s="38"/>
    </row>
    <row r="1065" spans="1:8" ht="12.75">
      <c r="A1065" s="36"/>
      <c r="B1065" s="37"/>
      <c r="C1065" s="54"/>
      <c r="D1065" s="54"/>
      <c r="E1065" s="55"/>
      <c r="F1065" s="54"/>
      <c r="G1065" s="38"/>
      <c r="H1065" s="38"/>
    </row>
    <row r="1066" spans="1:8" ht="12.75">
      <c r="A1066" s="36"/>
      <c r="B1066" s="37"/>
      <c r="C1066" s="54"/>
      <c r="D1066" s="54"/>
      <c r="E1066" s="55"/>
      <c r="F1066" s="54"/>
      <c r="G1066" s="38"/>
      <c r="H1066" s="38"/>
    </row>
    <row r="1067" spans="1:8" ht="12.75">
      <c r="A1067" s="36"/>
      <c r="B1067" s="37"/>
      <c r="C1067" s="54"/>
      <c r="D1067" s="54"/>
      <c r="E1067" s="55"/>
      <c r="F1067" s="54"/>
      <c r="G1067" s="38"/>
      <c r="H1067" s="38"/>
    </row>
    <row r="1068" spans="1:8" ht="12.75">
      <c r="A1068" s="36"/>
      <c r="B1068" s="37"/>
      <c r="C1068" s="54"/>
      <c r="D1068" s="54"/>
      <c r="E1068" s="55"/>
      <c r="F1068" s="54"/>
      <c r="G1068" s="38"/>
      <c r="H1068" s="38"/>
    </row>
    <row r="1069" spans="1:8" ht="12.75">
      <c r="A1069" s="36"/>
      <c r="B1069" s="37"/>
      <c r="C1069" s="54"/>
      <c r="D1069" s="54"/>
      <c r="E1069" s="55"/>
      <c r="F1069" s="54"/>
      <c r="G1069" s="38"/>
      <c r="H1069" s="38"/>
    </row>
    <row r="1070" spans="1:8" ht="12.75">
      <c r="A1070" s="36"/>
      <c r="B1070" s="37"/>
      <c r="C1070" s="54"/>
      <c r="D1070" s="54"/>
      <c r="E1070" s="55"/>
      <c r="F1070" s="54"/>
      <c r="G1070" s="38"/>
      <c r="H1070" s="38"/>
    </row>
    <row r="1071" spans="1:8" ht="12.75">
      <c r="A1071" s="36"/>
      <c r="B1071" s="37"/>
      <c r="C1071" s="54"/>
      <c r="D1071" s="54"/>
      <c r="E1071" s="55"/>
      <c r="F1071" s="54"/>
      <c r="G1071" s="38"/>
      <c r="H1071" s="38"/>
    </row>
    <row r="1072" spans="1:8" ht="12.75">
      <c r="A1072" s="36"/>
      <c r="B1072" s="37"/>
      <c r="C1072" s="54"/>
      <c r="D1072" s="54"/>
      <c r="E1072" s="55"/>
      <c r="F1072" s="54"/>
      <c r="G1072" s="38"/>
      <c r="H1072" s="38"/>
    </row>
    <row r="1073" spans="1:8" ht="12.75">
      <c r="A1073" s="36"/>
      <c r="B1073" s="37"/>
      <c r="C1073" s="54"/>
      <c r="D1073" s="54"/>
      <c r="E1073" s="55"/>
      <c r="F1073" s="54"/>
      <c r="G1073" s="38"/>
      <c r="H1073" s="38"/>
    </row>
    <row r="1074" spans="1:8" ht="12.75">
      <c r="A1074" s="36"/>
      <c r="B1074" s="37"/>
      <c r="C1074" s="54"/>
      <c r="D1074" s="54"/>
      <c r="E1074" s="55"/>
      <c r="F1074" s="54"/>
      <c r="G1074" s="38"/>
      <c r="H1074" s="38"/>
    </row>
    <row r="1075" spans="1:8" ht="12.75">
      <c r="A1075" s="36"/>
      <c r="B1075" s="37"/>
      <c r="C1075" s="54"/>
      <c r="D1075" s="54"/>
      <c r="E1075" s="55"/>
      <c r="F1075" s="54"/>
      <c r="G1075" s="38"/>
      <c r="H1075" s="38"/>
    </row>
    <row r="1076" spans="1:8" ht="12.75">
      <c r="A1076" s="36"/>
      <c r="B1076" s="37"/>
      <c r="C1076" s="54"/>
      <c r="D1076" s="54"/>
      <c r="E1076" s="55"/>
      <c r="F1076" s="54"/>
      <c r="G1076" s="38"/>
      <c r="H1076" s="38"/>
    </row>
    <row r="1077" spans="1:8" ht="12.75">
      <c r="A1077" s="36"/>
      <c r="B1077" s="37"/>
      <c r="C1077" s="54"/>
      <c r="D1077" s="54"/>
      <c r="E1077" s="55"/>
      <c r="F1077" s="54"/>
      <c r="G1077" s="38"/>
      <c r="H1077" s="38"/>
    </row>
    <row r="1078" spans="1:8" ht="12.75">
      <c r="A1078" s="36"/>
      <c r="B1078" s="37"/>
      <c r="C1078" s="54"/>
      <c r="D1078" s="54"/>
      <c r="E1078" s="55"/>
      <c r="F1078" s="54"/>
      <c r="G1078" s="38"/>
      <c r="H1078" s="38"/>
    </row>
    <row r="1079" spans="1:8" ht="12.75">
      <c r="A1079" s="36"/>
      <c r="B1079" s="37"/>
      <c r="C1079" s="54"/>
      <c r="D1079" s="54"/>
      <c r="E1079" s="55"/>
      <c r="F1079" s="54"/>
      <c r="G1079" s="38"/>
      <c r="H1079" s="38"/>
    </row>
    <row r="1080" spans="1:8" ht="12.75">
      <c r="A1080" s="36"/>
      <c r="B1080" s="37"/>
      <c r="C1080" s="54"/>
      <c r="D1080" s="54"/>
      <c r="E1080" s="55"/>
      <c r="F1080" s="54"/>
      <c r="G1080" s="38"/>
      <c r="H1080" s="38"/>
    </row>
    <row r="1081" spans="1:8" ht="12.75">
      <c r="A1081" s="36"/>
      <c r="B1081" s="37"/>
      <c r="C1081" s="54"/>
      <c r="D1081" s="54"/>
      <c r="E1081" s="55"/>
      <c r="F1081" s="54"/>
      <c r="G1081" s="38"/>
      <c r="H1081" s="38"/>
    </row>
    <row r="1082" spans="1:8" ht="12.75">
      <c r="A1082" s="36"/>
      <c r="B1082" s="37"/>
      <c r="C1082" s="54"/>
      <c r="D1082" s="54"/>
      <c r="E1082" s="55"/>
      <c r="F1082" s="54"/>
      <c r="G1082" s="38"/>
      <c r="H1082" s="38"/>
    </row>
    <row r="1083" spans="1:8" ht="12.75">
      <c r="A1083" s="36"/>
      <c r="B1083" s="37"/>
      <c r="C1083" s="54"/>
      <c r="D1083" s="54"/>
      <c r="E1083" s="55"/>
      <c r="F1083" s="54"/>
      <c r="G1083" s="38"/>
      <c r="H1083" s="38"/>
    </row>
    <row r="1084" spans="1:8" ht="12.75">
      <c r="A1084" s="36"/>
      <c r="B1084" s="37"/>
      <c r="C1084" s="54"/>
      <c r="D1084" s="54"/>
      <c r="E1084" s="55"/>
      <c r="F1084" s="54"/>
      <c r="G1084" s="38"/>
      <c r="H1084" s="38"/>
    </row>
    <row r="1085" spans="1:8" ht="12.75">
      <c r="A1085" s="36"/>
      <c r="B1085" s="37"/>
      <c r="C1085" s="54"/>
      <c r="D1085" s="54"/>
      <c r="E1085" s="55"/>
      <c r="F1085" s="54"/>
      <c r="G1085" s="38"/>
      <c r="H1085" s="38"/>
    </row>
    <row r="1086" spans="1:8" ht="12.75">
      <c r="A1086" s="36"/>
      <c r="B1086" s="37"/>
      <c r="C1086" s="54"/>
      <c r="D1086" s="54"/>
      <c r="E1086" s="55"/>
      <c r="F1086" s="54"/>
      <c r="G1086" s="38"/>
      <c r="H1086" s="38"/>
    </row>
    <row r="1087" spans="1:8" ht="12.75">
      <c r="A1087" s="36"/>
      <c r="B1087" s="37"/>
      <c r="C1087" s="54"/>
      <c r="D1087" s="54"/>
      <c r="E1087" s="55"/>
      <c r="F1087" s="54"/>
      <c r="G1087" s="38"/>
      <c r="H1087" s="38"/>
    </row>
    <row r="1088" spans="1:8" ht="12.75">
      <c r="A1088" s="36"/>
      <c r="B1088" s="37"/>
      <c r="C1088" s="54"/>
      <c r="D1088" s="54"/>
      <c r="E1088" s="55"/>
      <c r="F1088" s="54"/>
      <c r="G1088" s="38"/>
      <c r="H1088" s="38"/>
    </row>
    <row r="1089" spans="1:8" ht="12.75">
      <c r="A1089" s="36"/>
      <c r="B1089" s="37"/>
      <c r="C1089" s="54"/>
      <c r="D1089" s="54"/>
      <c r="E1089" s="55"/>
      <c r="F1089" s="54"/>
      <c r="G1089" s="38"/>
      <c r="H1089" s="38"/>
    </row>
    <row r="1090" spans="1:8" ht="12.75">
      <c r="A1090" s="36"/>
      <c r="B1090" s="37"/>
      <c r="C1090" s="54"/>
      <c r="D1090" s="54"/>
      <c r="E1090" s="55"/>
      <c r="F1090" s="54"/>
      <c r="G1090" s="38"/>
      <c r="H1090" s="38"/>
    </row>
    <row r="1091" spans="1:8" ht="12.75">
      <c r="A1091" s="36"/>
      <c r="B1091" s="37"/>
      <c r="C1091" s="54"/>
      <c r="D1091" s="54"/>
      <c r="E1091" s="55"/>
      <c r="F1091" s="54"/>
      <c r="G1091" s="38"/>
      <c r="H1091" s="38"/>
    </row>
    <row r="1092" spans="1:8" ht="12.75">
      <c r="A1092" s="36"/>
      <c r="B1092" s="37"/>
      <c r="C1092" s="54"/>
      <c r="D1092" s="54"/>
      <c r="E1092" s="55"/>
      <c r="F1092" s="54"/>
      <c r="G1092" s="38"/>
      <c r="H1092" s="38"/>
    </row>
    <row r="1093" spans="1:8" ht="12.75">
      <c r="A1093" s="36"/>
      <c r="B1093" s="37"/>
      <c r="C1093" s="54"/>
      <c r="D1093" s="54"/>
      <c r="E1093" s="55"/>
      <c r="F1093" s="54"/>
      <c r="G1093" s="38"/>
      <c r="H1093" s="38"/>
    </row>
    <row r="1094" spans="1:8" ht="12.75">
      <c r="A1094" s="36"/>
      <c r="B1094" s="37"/>
      <c r="C1094" s="54"/>
      <c r="D1094" s="54"/>
      <c r="E1094" s="55"/>
      <c r="F1094" s="54"/>
      <c r="G1094" s="38"/>
      <c r="H1094" s="38"/>
    </row>
    <row r="1095" spans="1:8" ht="12.75">
      <c r="A1095" s="36"/>
      <c r="B1095" s="37"/>
      <c r="C1095" s="54"/>
      <c r="D1095" s="54"/>
      <c r="E1095" s="55"/>
      <c r="F1095" s="54"/>
      <c r="G1095" s="38"/>
      <c r="H1095" s="38"/>
    </row>
    <row r="1096" spans="1:8" ht="12.75">
      <c r="A1096" s="36"/>
      <c r="B1096" s="37"/>
      <c r="C1096" s="54"/>
      <c r="D1096" s="54"/>
      <c r="E1096" s="55"/>
      <c r="F1096" s="54"/>
      <c r="G1096" s="38"/>
      <c r="H1096" s="38"/>
    </row>
    <row r="1097" spans="1:8" ht="12.75">
      <c r="A1097" s="36"/>
      <c r="B1097" s="37"/>
      <c r="C1097" s="54"/>
      <c r="D1097" s="54"/>
      <c r="E1097" s="55"/>
      <c r="F1097" s="54"/>
      <c r="G1097" s="38"/>
      <c r="H1097" s="38"/>
    </row>
    <row r="1098" spans="1:8" ht="12.75">
      <c r="A1098" s="36"/>
      <c r="B1098" s="37"/>
      <c r="C1098" s="54"/>
      <c r="D1098" s="54"/>
      <c r="E1098" s="55"/>
      <c r="F1098" s="54"/>
      <c r="G1098" s="38"/>
      <c r="H1098" s="38"/>
    </row>
    <row r="1099" spans="1:8" ht="12.75">
      <c r="A1099" s="36"/>
      <c r="B1099" s="37"/>
      <c r="C1099" s="54"/>
      <c r="D1099" s="54"/>
      <c r="E1099" s="55"/>
      <c r="F1099" s="54"/>
      <c r="G1099" s="38"/>
      <c r="H1099" s="38"/>
    </row>
    <row r="1100" spans="1:8" ht="12.75">
      <c r="A1100" s="36"/>
      <c r="B1100" s="37"/>
      <c r="C1100" s="54"/>
      <c r="D1100" s="54"/>
      <c r="E1100" s="55"/>
      <c r="F1100" s="54"/>
      <c r="G1100" s="38"/>
      <c r="H1100" s="38"/>
    </row>
    <row r="1101" spans="1:8" ht="12.75">
      <c r="A1101" s="36"/>
      <c r="B1101" s="37"/>
      <c r="C1101" s="54"/>
      <c r="D1101" s="54"/>
      <c r="E1101" s="55"/>
      <c r="F1101" s="54"/>
      <c r="G1101" s="38"/>
      <c r="H1101" s="38"/>
    </row>
    <row r="1102" spans="1:8" ht="12.75">
      <c r="A1102" s="36"/>
      <c r="B1102" s="37"/>
      <c r="C1102" s="54"/>
      <c r="D1102" s="54"/>
      <c r="E1102" s="55"/>
      <c r="F1102" s="54"/>
      <c r="G1102" s="38"/>
      <c r="H1102" s="38"/>
    </row>
    <row r="1103" spans="1:8" ht="12.75">
      <c r="A1103" s="36"/>
      <c r="B1103" s="37"/>
      <c r="C1103" s="54"/>
      <c r="D1103" s="54"/>
      <c r="E1103" s="55"/>
      <c r="F1103" s="54"/>
      <c r="G1103" s="38"/>
      <c r="H1103" s="38"/>
    </row>
    <row r="1104" spans="1:8" ht="12.75">
      <c r="A1104" s="36"/>
      <c r="B1104" s="37"/>
      <c r="C1104" s="54"/>
      <c r="D1104" s="54"/>
      <c r="E1104" s="55"/>
      <c r="F1104" s="54"/>
      <c r="G1104" s="38"/>
      <c r="H1104" s="38"/>
    </row>
    <row r="1105" spans="1:8" ht="12.75">
      <c r="A1105" s="36"/>
      <c r="B1105" s="37"/>
      <c r="C1105" s="54"/>
      <c r="D1105" s="54"/>
      <c r="E1105" s="55"/>
      <c r="F1105" s="54"/>
      <c r="G1105" s="38"/>
      <c r="H1105" s="38"/>
    </row>
    <row r="1106" spans="1:8" ht="12.75">
      <c r="A1106" s="36"/>
      <c r="B1106" s="37"/>
      <c r="C1106" s="54"/>
      <c r="D1106" s="54"/>
      <c r="E1106" s="55"/>
      <c r="F1106" s="54"/>
      <c r="G1106" s="38"/>
      <c r="H1106" s="38"/>
    </row>
    <row r="1107" spans="1:8" ht="12.75">
      <c r="A1107" s="36"/>
      <c r="B1107" s="37"/>
      <c r="C1107" s="54"/>
      <c r="D1107" s="54"/>
      <c r="E1107" s="55"/>
      <c r="F1107" s="54"/>
      <c r="G1107" s="38"/>
      <c r="H1107" s="38"/>
    </row>
    <row r="1108" spans="1:8" ht="12.75">
      <c r="A1108" s="36"/>
      <c r="B1108" s="37"/>
      <c r="C1108" s="54"/>
      <c r="D1108" s="54"/>
      <c r="E1108" s="55"/>
      <c r="F1108" s="54"/>
      <c r="G1108" s="38"/>
      <c r="H1108" s="38"/>
    </row>
    <row r="1109" spans="1:8" ht="12.75">
      <c r="A1109" s="36"/>
      <c r="B1109" s="37"/>
      <c r="C1109" s="54"/>
      <c r="D1109" s="54"/>
      <c r="E1109" s="55"/>
      <c r="F1109" s="54"/>
      <c r="G1109" s="38"/>
      <c r="H1109" s="38"/>
    </row>
    <row r="1110" spans="1:8" ht="12.75">
      <c r="A1110" s="36"/>
      <c r="B1110" s="37"/>
      <c r="C1110" s="54"/>
      <c r="D1110" s="54"/>
      <c r="E1110" s="55"/>
      <c r="F1110" s="54"/>
      <c r="G1110" s="38"/>
      <c r="H1110" s="38"/>
    </row>
    <row r="1111" spans="1:8" ht="12.75">
      <c r="A1111" s="36"/>
      <c r="B1111" s="37"/>
      <c r="C1111" s="54"/>
      <c r="D1111" s="54"/>
      <c r="E1111" s="55"/>
      <c r="F1111" s="54"/>
      <c r="G1111" s="38"/>
      <c r="H1111" s="38"/>
    </row>
    <row r="1112" spans="1:8" ht="12.75">
      <c r="A1112" s="36"/>
      <c r="B1112" s="37"/>
      <c r="C1112" s="54"/>
      <c r="D1112" s="54"/>
      <c r="E1112" s="55"/>
      <c r="F1112" s="54"/>
      <c r="G1112" s="38"/>
      <c r="H1112" s="38"/>
    </row>
    <row r="1113" spans="1:8" ht="12.75">
      <c r="A1113" s="36"/>
      <c r="B1113" s="37"/>
      <c r="C1113" s="54"/>
      <c r="D1113" s="54"/>
      <c r="E1113" s="55"/>
      <c r="F1113" s="54"/>
      <c r="G1113" s="38"/>
      <c r="H1113" s="38"/>
    </row>
    <row r="1114" spans="1:8" ht="12.75">
      <c r="A1114" s="36"/>
      <c r="B1114" s="37"/>
      <c r="C1114" s="54"/>
      <c r="D1114" s="54"/>
      <c r="E1114" s="55"/>
      <c r="F1114" s="54"/>
      <c r="G1114" s="38"/>
      <c r="H1114" s="38"/>
    </row>
    <row r="1115" spans="1:8" ht="12.75">
      <c r="A1115" s="36"/>
      <c r="B1115" s="37"/>
      <c r="C1115" s="54"/>
      <c r="D1115" s="54"/>
      <c r="E1115" s="55"/>
      <c r="F1115" s="54"/>
      <c r="G1115" s="38"/>
      <c r="H1115" s="38"/>
    </row>
    <row r="1116" spans="1:8" ht="12.75">
      <c r="A1116" s="36"/>
      <c r="B1116" s="37"/>
      <c r="C1116" s="54"/>
      <c r="D1116" s="54"/>
      <c r="E1116" s="55"/>
      <c r="F1116" s="54"/>
      <c r="G1116" s="38"/>
      <c r="H1116" s="38"/>
    </row>
    <row r="1117" spans="1:8" ht="12.75">
      <c r="A1117" s="36"/>
      <c r="B1117" s="37"/>
      <c r="C1117" s="54"/>
      <c r="D1117" s="54"/>
      <c r="E1117" s="55"/>
      <c r="F1117" s="54"/>
      <c r="G1117" s="38"/>
      <c r="H1117" s="38"/>
    </row>
    <row r="1118" spans="1:8" ht="12.75">
      <c r="A1118" s="36"/>
      <c r="B1118" s="37"/>
      <c r="C1118" s="54"/>
      <c r="D1118" s="54"/>
      <c r="E1118" s="55"/>
      <c r="F1118" s="54"/>
      <c r="G1118" s="38"/>
      <c r="H1118" s="38"/>
    </row>
    <row r="1119" spans="1:8" ht="12.75">
      <c r="A1119" s="36"/>
      <c r="B1119" s="37"/>
      <c r="C1119" s="54"/>
      <c r="D1119" s="54"/>
      <c r="E1119" s="55"/>
      <c r="F1119" s="54"/>
      <c r="G1119" s="38"/>
      <c r="H1119" s="38"/>
    </row>
    <row r="1120" spans="1:8" ht="12.75">
      <c r="A1120" s="36"/>
      <c r="B1120" s="37"/>
      <c r="C1120" s="54"/>
      <c r="D1120" s="54"/>
      <c r="E1120" s="55"/>
      <c r="F1120" s="54"/>
      <c r="G1120" s="38"/>
      <c r="H1120" s="38"/>
    </row>
    <row r="1121" spans="1:8" ht="12.75">
      <c r="A1121" s="36"/>
      <c r="B1121" s="37"/>
      <c r="C1121" s="54"/>
      <c r="D1121" s="54"/>
      <c r="E1121" s="55"/>
      <c r="F1121" s="54"/>
      <c r="G1121" s="38"/>
      <c r="H1121" s="38"/>
    </row>
    <row r="1122" spans="1:8" ht="12.75">
      <c r="A1122" s="36"/>
      <c r="B1122" s="37"/>
      <c r="C1122" s="54"/>
      <c r="D1122" s="54"/>
      <c r="E1122" s="55"/>
      <c r="F1122" s="54"/>
      <c r="G1122" s="38"/>
      <c r="H1122" s="38"/>
    </row>
    <row r="1123" spans="1:8" ht="12.75">
      <c r="A1123" s="36"/>
      <c r="B1123" s="37"/>
      <c r="C1123" s="54"/>
      <c r="D1123" s="54"/>
      <c r="E1123" s="55"/>
      <c r="F1123" s="54"/>
      <c r="G1123" s="38"/>
      <c r="H1123" s="38"/>
    </row>
    <row r="1124" spans="1:8" ht="12.75">
      <c r="A1124" s="36"/>
      <c r="B1124" s="37"/>
      <c r="C1124" s="54"/>
      <c r="D1124" s="54"/>
      <c r="E1124" s="55"/>
      <c r="F1124" s="54"/>
      <c r="G1124" s="38"/>
      <c r="H1124" s="38"/>
    </row>
    <row r="1125" spans="1:8" ht="12.75">
      <c r="A1125" s="36"/>
      <c r="B1125" s="37"/>
      <c r="C1125" s="54"/>
      <c r="D1125" s="54"/>
      <c r="E1125" s="55"/>
      <c r="F1125" s="54"/>
      <c r="G1125" s="38"/>
      <c r="H1125" s="38"/>
    </row>
    <row r="1126" spans="1:8" ht="12.75">
      <c r="A1126" s="36"/>
      <c r="B1126" s="37"/>
      <c r="C1126" s="54"/>
      <c r="D1126" s="54"/>
      <c r="E1126" s="55"/>
      <c r="F1126" s="54"/>
      <c r="G1126" s="38"/>
      <c r="H1126" s="38"/>
    </row>
    <row r="1127" spans="1:8" ht="12.75">
      <c r="A1127" s="36"/>
      <c r="B1127" s="37"/>
      <c r="C1127" s="54"/>
      <c r="D1127" s="54"/>
      <c r="E1127" s="55"/>
      <c r="F1127" s="54"/>
      <c r="G1127" s="38"/>
      <c r="H1127" s="38"/>
    </row>
    <row r="1128" spans="1:8" ht="12.75">
      <c r="A1128" s="36"/>
      <c r="B1128" s="37"/>
      <c r="C1128" s="54"/>
      <c r="D1128" s="54"/>
      <c r="E1128" s="55"/>
      <c r="F1128" s="54"/>
      <c r="G1128" s="38"/>
      <c r="H1128" s="38"/>
    </row>
    <row r="1129" spans="1:8" ht="12.75">
      <c r="A1129" s="36"/>
      <c r="B1129" s="37"/>
      <c r="C1129" s="54"/>
      <c r="D1129" s="54"/>
      <c r="E1129" s="55"/>
      <c r="F1129" s="54"/>
      <c r="G1129" s="38"/>
      <c r="H1129" s="38"/>
    </row>
    <row r="1130" spans="1:8" ht="12.75">
      <c r="A1130" s="36"/>
      <c r="B1130" s="37"/>
      <c r="C1130" s="54"/>
      <c r="D1130" s="54"/>
      <c r="E1130" s="55"/>
      <c r="F1130" s="54"/>
      <c r="G1130" s="38"/>
      <c r="H1130" s="38"/>
    </row>
    <row r="1131" spans="1:8" ht="12.75">
      <c r="A1131" s="36"/>
      <c r="B1131" s="37"/>
      <c r="C1131" s="54"/>
      <c r="D1131" s="54"/>
      <c r="E1131" s="55"/>
      <c r="F1131" s="54"/>
      <c r="G1131" s="38"/>
      <c r="H1131" s="38"/>
    </row>
    <row r="1132" spans="1:8" ht="12.75">
      <c r="A1132" s="36"/>
      <c r="B1132" s="37"/>
      <c r="C1132" s="54"/>
      <c r="D1132" s="54"/>
      <c r="E1132" s="55"/>
      <c r="F1132" s="54"/>
      <c r="G1132" s="38"/>
      <c r="H1132" s="38"/>
    </row>
    <row r="1133" spans="1:8" ht="12.75">
      <c r="A1133" s="36"/>
      <c r="B1133" s="37"/>
      <c r="C1133" s="54"/>
      <c r="D1133" s="54"/>
      <c r="E1133" s="55"/>
      <c r="F1133" s="54"/>
      <c r="G1133" s="38"/>
      <c r="H1133" s="38"/>
    </row>
    <row r="1134" spans="1:8" ht="12.75">
      <c r="A1134" s="36"/>
      <c r="B1134" s="37"/>
      <c r="C1134" s="54"/>
      <c r="D1134" s="54"/>
      <c r="E1134" s="55"/>
      <c r="F1134" s="54"/>
      <c r="G1134" s="38"/>
      <c r="H1134" s="38"/>
    </row>
    <row r="1135" spans="1:8" ht="12.75">
      <c r="A1135" s="36"/>
      <c r="B1135" s="37"/>
      <c r="C1135" s="54"/>
      <c r="D1135" s="54"/>
      <c r="E1135" s="55"/>
      <c r="F1135" s="54"/>
      <c r="G1135" s="38"/>
      <c r="H1135" s="38"/>
    </row>
    <row r="1136" spans="1:8" ht="12.75">
      <c r="A1136" s="36"/>
      <c r="B1136" s="37"/>
      <c r="C1136" s="54"/>
      <c r="D1136" s="54"/>
      <c r="E1136" s="55"/>
      <c r="F1136" s="54"/>
      <c r="G1136" s="38"/>
      <c r="H1136" s="38"/>
    </row>
    <row r="1137" spans="1:8" ht="12.75">
      <c r="A1137" s="36"/>
      <c r="B1137" s="37"/>
      <c r="C1137" s="54"/>
      <c r="D1137" s="54"/>
      <c r="E1137" s="55"/>
      <c r="F1137" s="54"/>
      <c r="G1137" s="38"/>
      <c r="H1137" s="38"/>
    </row>
    <row r="1138" spans="1:8" ht="12.75">
      <c r="A1138" s="36"/>
      <c r="B1138" s="37"/>
      <c r="C1138" s="54"/>
      <c r="D1138" s="54"/>
      <c r="E1138" s="55"/>
      <c r="F1138" s="54"/>
      <c r="G1138" s="38"/>
      <c r="H1138" s="38"/>
    </row>
    <row r="1139" spans="1:8" ht="12.75">
      <c r="A1139" s="36"/>
      <c r="B1139" s="37"/>
      <c r="C1139" s="54"/>
      <c r="D1139" s="54"/>
      <c r="E1139" s="55"/>
      <c r="F1139" s="54"/>
      <c r="G1139" s="38"/>
      <c r="H1139" s="38"/>
    </row>
    <row r="1140" spans="1:8" ht="12.75">
      <c r="A1140" s="36"/>
      <c r="B1140" s="37"/>
      <c r="C1140" s="54"/>
      <c r="D1140" s="54"/>
      <c r="E1140" s="55"/>
      <c r="F1140" s="54"/>
      <c r="G1140" s="38"/>
      <c r="H1140" s="38"/>
    </row>
    <row r="1141" spans="1:8" ht="12.75">
      <c r="A1141" s="36"/>
      <c r="B1141" s="37"/>
      <c r="C1141" s="54"/>
      <c r="D1141" s="54"/>
      <c r="E1141" s="55"/>
      <c r="F1141" s="54"/>
      <c r="G1141" s="38"/>
      <c r="H1141" s="38"/>
    </row>
    <row r="1142" spans="1:8" ht="12.75">
      <c r="A1142" s="36"/>
      <c r="B1142" s="37"/>
      <c r="C1142" s="54"/>
      <c r="D1142" s="54"/>
      <c r="E1142" s="55"/>
      <c r="F1142" s="54"/>
      <c r="G1142" s="38"/>
      <c r="H1142" s="38"/>
    </row>
    <row r="1143" spans="1:8" ht="12.75">
      <c r="A1143" s="36"/>
      <c r="B1143" s="37"/>
      <c r="C1143" s="54"/>
      <c r="D1143" s="54"/>
      <c r="E1143" s="55"/>
      <c r="F1143" s="54"/>
      <c r="G1143" s="38"/>
      <c r="H1143" s="38"/>
    </row>
    <row r="1144" spans="1:8" ht="12.75">
      <c r="A1144" s="36"/>
      <c r="B1144" s="37"/>
      <c r="C1144" s="54"/>
      <c r="D1144" s="54"/>
      <c r="E1144" s="55"/>
      <c r="F1144" s="54"/>
      <c r="G1144" s="38"/>
      <c r="H1144" s="38"/>
    </row>
    <row r="1145" spans="1:8" ht="12.75">
      <c r="A1145" s="36"/>
      <c r="B1145" s="37"/>
      <c r="C1145" s="54"/>
      <c r="D1145" s="54"/>
      <c r="E1145" s="55"/>
      <c r="F1145" s="54"/>
      <c r="G1145" s="38"/>
      <c r="H1145" s="38"/>
    </row>
    <row r="1146" spans="1:8" ht="12.75">
      <c r="A1146" s="36"/>
      <c r="B1146" s="37"/>
      <c r="C1146" s="54"/>
      <c r="D1146" s="54"/>
      <c r="E1146" s="55"/>
      <c r="F1146" s="54"/>
      <c r="G1146" s="38"/>
      <c r="H1146" s="38"/>
    </row>
    <row r="1147" spans="1:8" ht="12.75">
      <c r="A1147" s="36"/>
      <c r="B1147" s="37"/>
      <c r="C1147" s="54"/>
      <c r="D1147" s="54"/>
      <c r="E1147" s="55"/>
      <c r="F1147" s="54"/>
      <c r="G1147" s="38"/>
      <c r="H1147" s="38"/>
    </row>
    <row r="1148" spans="1:8" ht="12.75">
      <c r="A1148" s="36"/>
      <c r="B1148" s="37"/>
      <c r="C1148" s="54"/>
      <c r="D1148" s="54"/>
      <c r="E1148" s="55"/>
      <c r="F1148" s="54"/>
      <c r="G1148" s="38"/>
      <c r="H1148" s="38"/>
    </row>
    <row r="1149" spans="1:8" ht="12.75">
      <c r="A1149" s="36"/>
      <c r="B1149" s="37"/>
      <c r="C1149" s="54"/>
      <c r="D1149" s="54"/>
      <c r="E1149" s="55"/>
      <c r="F1149" s="54"/>
      <c r="G1149" s="38"/>
      <c r="H1149" s="38"/>
    </row>
    <row r="1150" spans="1:8" ht="12.75">
      <c r="A1150" s="36"/>
      <c r="B1150" s="37"/>
      <c r="C1150" s="54"/>
      <c r="D1150" s="54"/>
      <c r="E1150" s="55"/>
      <c r="F1150" s="54"/>
      <c r="G1150" s="38"/>
      <c r="H1150" s="38"/>
    </row>
    <row r="1151" spans="1:8" ht="12.75">
      <c r="A1151" s="36"/>
      <c r="B1151" s="37"/>
      <c r="C1151" s="54"/>
      <c r="D1151" s="54"/>
      <c r="E1151" s="55"/>
      <c r="F1151" s="54"/>
      <c r="G1151" s="38"/>
      <c r="H1151" s="38"/>
    </row>
    <row r="1152" spans="1:8" ht="12.75">
      <c r="A1152" s="36"/>
      <c r="B1152" s="37"/>
      <c r="C1152" s="54"/>
      <c r="D1152" s="54"/>
      <c r="E1152" s="55"/>
      <c r="F1152" s="54"/>
      <c r="G1152" s="38"/>
      <c r="H1152" s="38"/>
    </row>
    <row r="1153" spans="1:8" ht="12.75">
      <c r="A1153" s="36"/>
      <c r="B1153" s="37"/>
      <c r="C1153" s="54"/>
      <c r="D1153" s="54"/>
      <c r="E1153" s="55"/>
      <c r="F1153" s="54"/>
      <c r="G1153" s="38"/>
      <c r="H1153" s="38"/>
    </row>
    <row r="1154" spans="1:8" ht="12.75">
      <c r="A1154" s="36"/>
      <c r="B1154" s="37"/>
      <c r="C1154" s="54"/>
      <c r="D1154" s="54"/>
      <c r="E1154" s="55"/>
      <c r="F1154" s="54"/>
      <c r="G1154" s="38"/>
      <c r="H1154" s="38"/>
    </row>
    <row r="1155" spans="1:8" ht="12.75">
      <c r="A1155" s="36"/>
      <c r="B1155" s="37"/>
      <c r="C1155" s="54"/>
      <c r="D1155" s="54"/>
      <c r="E1155" s="55"/>
      <c r="F1155" s="54"/>
      <c r="G1155" s="38"/>
      <c r="H1155" s="38"/>
    </row>
    <row r="1156" spans="1:8" ht="12.75">
      <c r="A1156" s="36"/>
      <c r="B1156" s="37"/>
      <c r="C1156" s="54"/>
      <c r="D1156" s="54"/>
      <c r="E1156" s="55"/>
      <c r="F1156" s="54"/>
      <c r="G1156" s="38"/>
      <c r="H1156" s="38"/>
    </row>
    <row r="1157" spans="1:8" ht="12.75">
      <c r="A1157" s="36"/>
      <c r="B1157" s="37"/>
      <c r="C1157" s="54"/>
      <c r="D1157" s="54"/>
      <c r="E1157" s="55"/>
      <c r="F1157" s="54"/>
      <c r="G1157" s="38"/>
      <c r="H1157" s="38"/>
    </row>
    <row r="1158" spans="1:8" ht="12.75">
      <c r="A1158" s="36"/>
      <c r="B1158" s="37"/>
      <c r="C1158" s="54"/>
      <c r="D1158" s="54"/>
      <c r="E1158" s="55"/>
      <c r="F1158" s="54"/>
      <c r="G1158" s="38"/>
      <c r="H1158" s="38"/>
    </row>
    <row r="1159" spans="1:8" ht="12.75">
      <c r="A1159" s="36"/>
      <c r="B1159" s="37"/>
      <c r="C1159" s="54"/>
      <c r="D1159" s="54"/>
      <c r="E1159" s="55"/>
      <c r="F1159" s="54"/>
      <c r="G1159" s="38"/>
      <c r="H1159" s="38"/>
    </row>
    <row r="1160" spans="1:8" ht="12.75">
      <c r="A1160" s="36"/>
      <c r="B1160" s="37"/>
      <c r="C1160" s="54"/>
      <c r="D1160" s="54"/>
      <c r="E1160" s="55"/>
      <c r="F1160" s="54"/>
      <c r="G1160" s="38"/>
      <c r="H1160" s="38"/>
    </row>
    <row r="1161" spans="1:8" ht="12.75">
      <c r="A1161" s="36"/>
      <c r="B1161" s="37"/>
      <c r="C1161" s="54"/>
      <c r="D1161" s="54"/>
      <c r="E1161" s="55"/>
      <c r="F1161" s="54"/>
      <c r="G1161" s="38"/>
      <c r="H1161" s="38"/>
    </row>
    <row r="1162" spans="1:8" ht="12.75">
      <c r="A1162" s="36"/>
      <c r="B1162" s="37"/>
      <c r="C1162" s="54"/>
      <c r="D1162" s="54"/>
      <c r="E1162" s="55"/>
      <c r="F1162" s="54"/>
      <c r="G1162" s="38"/>
      <c r="H1162" s="38"/>
    </row>
    <row r="1163" spans="1:8" ht="12.75">
      <c r="A1163" s="36"/>
      <c r="B1163" s="37"/>
      <c r="C1163" s="54"/>
      <c r="D1163" s="54"/>
      <c r="E1163" s="55"/>
      <c r="F1163" s="54"/>
      <c r="G1163" s="38"/>
      <c r="H1163" s="38"/>
    </row>
    <row r="1164" spans="1:8" ht="12.75">
      <c r="A1164" s="36"/>
      <c r="B1164" s="37"/>
      <c r="C1164" s="54"/>
      <c r="D1164" s="54"/>
      <c r="E1164" s="55"/>
      <c r="F1164" s="54"/>
      <c r="G1164" s="38"/>
      <c r="H1164" s="38"/>
    </row>
    <row r="1165" spans="1:8" ht="12.75">
      <c r="A1165" s="36"/>
      <c r="B1165" s="37"/>
      <c r="C1165" s="54"/>
      <c r="D1165" s="54"/>
      <c r="E1165" s="55"/>
      <c r="F1165" s="54"/>
      <c r="G1165" s="38"/>
      <c r="H1165" s="38"/>
    </row>
    <row r="1166" spans="1:8" ht="12.75">
      <c r="A1166" s="36"/>
      <c r="B1166" s="37"/>
      <c r="C1166" s="54"/>
      <c r="D1166" s="54"/>
      <c r="E1166" s="55"/>
      <c r="F1166" s="54"/>
      <c r="G1166" s="38"/>
      <c r="H1166" s="38"/>
    </row>
    <row r="1167" spans="1:8" ht="12.75">
      <c r="A1167" s="36"/>
      <c r="B1167" s="37"/>
      <c r="C1167" s="54"/>
      <c r="D1167" s="54"/>
      <c r="E1167" s="55"/>
      <c r="F1167" s="54"/>
      <c r="G1167" s="38"/>
      <c r="H1167" s="38"/>
    </row>
    <row r="1168" spans="1:8" ht="12.75">
      <c r="A1168" s="36"/>
      <c r="B1168" s="37"/>
      <c r="C1168" s="54"/>
      <c r="D1168" s="54"/>
      <c r="E1168" s="55"/>
      <c r="F1168" s="54"/>
      <c r="G1168" s="38"/>
      <c r="H1168" s="38"/>
    </row>
    <row r="1169" spans="1:8" ht="12.75">
      <c r="A1169" s="36"/>
      <c r="B1169" s="37"/>
      <c r="C1169" s="54"/>
      <c r="D1169" s="54"/>
      <c r="E1169" s="55"/>
      <c r="F1169" s="54"/>
      <c r="G1169" s="38"/>
      <c r="H1169" s="38"/>
    </row>
    <row r="1170" spans="1:8" ht="12.75">
      <c r="A1170" s="36"/>
      <c r="B1170" s="37"/>
      <c r="C1170" s="54"/>
      <c r="D1170" s="54"/>
      <c r="E1170" s="55"/>
      <c r="F1170" s="54"/>
      <c r="G1170" s="38"/>
      <c r="H1170" s="38"/>
    </row>
    <row r="1171" spans="1:8" ht="12.75">
      <c r="A1171" s="36"/>
      <c r="B1171" s="37"/>
      <c r="C1171" s="54"/>
      <c r="D1171" s="54"/>
      <c r="E1171" s="55"/>
      <c r="F1171" s="54"/>
      <c r="G1171" s="38"/>
      <c r="H1171" s="38"/>
    </row>
    <row r="1172" spans="1:8" ht="12.75">
      <c r="A1172" s="36"/>
      <c r="B1172" s="37"/>
      <c r="C1172" s="54"/>
      <c r="D1172" s="54"/>
      <c r="E1172" s="55"/>
      <c r="F1172" s="54"/>
      <c r="G1172" s="38"/>
      <c r="H1172" s="38"/>
    </row>
    <row r="1173" spans="1:8" ht="12.75">
      <c r="A1173" s="36"/>
      <c r="B1173" s="37"/>
      <c r="C1173" s="54"/>
      <c r="D1173" s="54"/>
      <c r="E1173" s="55"/>
      <c r="F1173" s="54"/>
      <c r="G1173" s="38"/>
      <c r="H1173" s="38"/>
    </row>
    <row r="1174" spans="1:8" ht="12.75">
      <c r="A1174" s="36"/>
      <c r="B1174" s="37"/>
      <c r="C1174" s="54"/>
      <c r="D1174" s="54"/>
      <c r="E1174" s="55"/>
      <c r="F1174" s="54"/>
      <c r="G1174" s="38"/>
      <c r="H1174" s="38"/>
    </row>
    <row r="1175" spans="1:8" ht="12.75">
      <c r="A1175" s="36"/>
      <c r="B1175" s="37"/>
      <c r="C1175" s="54"/>
      <c r="D1175" s="54"/>
      <c r="E1175" s="55"/>
      <c r="F1175" s="54"/>
      <c r="G1175" s="38"/>
      <c r="H1175" s="38"/>
    </row>
    <row r="1176" spans="1:8" ht="12.75">
      <c r="A1176" s="36"/>
      <c r="B1176" s="37"/>
      <c r="C1176" s="54"/>
      <c r="D1176" s="54"/>
      <c r="E1176" s="55"/>
      <c r="F1176" s="54"/>
      <c r="G1176" s="38"/>
      <c r="H1176" s="38"/>
    </row>
    <row r="1177" spans="1:8" ht="12.75">
      <c r="A1177" s="36"/>
      <c r="B1177" s="37"/>
      <c r="C1177" s="54"/>
      <c r="D1177" s="54"/>
      <c r="E1177" s="55"/>
      <c r="F1177" s="54"/>
      <c r="G1177" s="38"/>
      <c r="H1177" s="38"/>
    </row>
    <row r="1178" spans="1:8" ht="12.75">
      <c r="A1178" s="36"/>
      <c r="B1178" s="37"/>
      <c r="C1178" s="54"/>
      <c r="D1178" s="54"/>
      <c r="E1178" s="55"/>
      <c r="F1178" s="54"/>
      <c r="G1178" s="38"/>
      <c r="H1178" s="38"/>
    </row>
    <row r="1179" spans="1:8" ht="12.75">
      <c r="A1179" s="36"/>
      <c r="B1179" s="37"/>
      <c r="C1179" s="54"/>
      <c r="D1179" s="54"/>
      <c r="E1179" s="55"/>
      <c r="F1179" s="54"/>
      <c r="G1179" s="38"/>
      <c r="H1179" s="38"/>
    </row>
    <row r="1180" spans="1:8" ht="12.75">
      <c r="A1180" s="36"/>
      <c r="B1180" s="37"/>
      <c r="C1180" s="54"/>
      <c r="D1180" s="54"/>
      <c r="E1180" s="55"/>
      <c r="F1180" s="54"/>
      <c r="G1180" s="38"/>
      <c r="H1180" s="38"/>
    </row>
    <row r="1181" spans="1:8" ht="12.75">
      <c r="A1181" s="36"/>
      <c r="B1181" s="37"/>
      <c r="C1181" s="54"/>
      <c r="D1181" s="54"/>
      <c r="E1181" s="55"/>
      <c r="F1181" s="54"/>
      <c r="G1181" s="38"/>
      <c r="H1181" s="38"/>
    </row>
    <row r="1182" spans="1:8" ht="12.75">
      <c r="A1182" s="36"/>
      <c r="B1182" s="37"/>
      <c r="C1182" s="54"/>
      <c r="D1182" s="54"/>
      <c r="E1182" s="55"/>
      <c r="F1182" s="54"/>
      <c r="G1182" s="38"/>
      <c r="H1182" s="38"/>
    </row>
    <row r="1183" spans="1:8" ht="12.75">
      <c r="A1183" s="36"/>
      <c r="B1183" s="37"/>
      <c r="C1183" s="54"/>
      <c r="D1183" s="54"/>
      <c r="E1183" s="55"/>
      <c r="F1183" s="54"/>
      <c r="G1183" s="38"/>
      <c r="H1183" s="38"/>
    </row>
    <row r="1184" spans="1:8" ht="12.75">
      <c r="A1184" s="36"/>
      <c r="B1184" s="37"/>
      <c r="C1184" s="54"/>
      <c r="D1184" s="54"/>
      <c r="E1184" s="55"/>
      <c r="F1184" s="54"/>
      <c r="G1184" s="38"/>
      <c r="H1184" s="38"/>
    </row>
    <row r="1185" spans="1:8" ht="12.75">
      <c r="A1185" s="36"/>
      <c r="B1185" s="37"/>
      <c r="C1185" s="54"/>
      <c r="D1185" s="54"/>
      <c r="E1185" s="55"/>
      <c r="F1185" s="54"/>
      <c r="G1185" s="38"/>
      <c r="H1185" s="38"/>
    </row>
    <row r="1186" spans="1:8" ht="12.75">
      <c r="A1186" s="36"/>
      <c r="B1186" s="37"/>
      <c r="C1186" s="54"/>
      <c r="D1186" s="54"/>
      <c r="E1186" s="55"/>
      <c r="F1186" s="54"/>
      <c r="G1186" s="38"/>
      <c r="H1186" s="38"/>
    </row>
    <row r="1187" spans="1:8" ht="12.75">
      <c r="A1187" s="36"/>
      <c r="B1187" s="37"/>
      <c r="C1187" s="54"/>
      <c r="D1187" s="54"/>
      <c r="E1187" s="55"/>
      <c r="F1187" s="54"/>
      <c r="G1187" s="38"/>
      <c r="H1187" s="38"/>
    </row>
    <row r="1188" spans="1:8" ht="12.75">
      <c r="A1188" s="36"/>
      <c r="B1188" s="37"/>
      <c r="C1188" s="54"/>
      <c r="D1188" s="54"/>
      <c r="E1188" s="55"/>
      <c r="F1188" s="54"/>
      <c r="G1188" s="38"/>
      <c r="H1188" s="38"/>
    </row>
    <row r="1189" spans="1:8" ht="12.75">
      <c r="A1189" s="36"/>
      <c r="B1189" s="37"/>
      <c r="C1189" s="54"/>
      <c r="D1189" s="54"/>
      <c r="E1189" s="55"/>
      <c r="F1189" s="54"/>
      <c r="G1189" s="38"/>
      <c r="H1189" s="38"/>
    </row>
    <row r="1190" spans="1:8" ht="12.75">
      <c r="A1190" s="36"/>
      <c r="B1190" s="37"/>
      <c r="C1190" s="54"/>
      <c r="D1190" s="54"/>
      <c r="E1190" s="55"/>
      <c r="F1190" s="54"/>
      <c r="G1190" s="38"/>
      <c r="H1190" s="38"/>
    </row>
    <row r="1191" spans="1:8" ht="12.75">
      <c r="A1191" s="36"/>
      <c r="B1191" s="37"/>
      <c r="C1191" s="54"/>
      <c r="D1191" s="54"/>
      <c r="E1191" s="55"/>
      <c r="F1191" s="54"/>
      <c r="G1191" s="38"/>
      <c r="H1191" s="38"/>
    </row>
    <row r="1192" spans="1:8" ht="12.75">
      <c r="A1192" s="36"/>
      <c r="B1192" s="37"/>
      <c r="C1192" s="54"/>
      <c r="D1192" s="54"/>
      <c r="E1192" s="55"/>
      <c r="F1192" s="54"/>
      <c r="G1192" s="38"/>
      <c r="H1192" s="38"/>
    </row>
    <row r="1193" spans="1:8" ht="12.75">
      <c r="A1193" s="36"/>
      <c r="B1193" s="37"/>
      <c r="C1193" s="54"/>
      <c r="D1193" s="54"/>
      <c r="E1193" s="55"/>
      <c r="F1193" s="54"/>
      <c r="G1193" s="38"/>
      <c r="H1193" s="38"/>
    </row>
    <row r="1194" spans="1:8" ht="12.75">
      <c r="A1194" s="36"/>
      <c r="B1194" s="37"/>
      <c r="C1194" s="54"/>
      <c r="D1194" s="54"/>
      <c r="E1194" s="55"/>
      <c r="F1194" s="54"/>
      <c r="G1194" s="38"/>
      <c r="H1194" s="38"/>
    </row>
    <row r="1195" spans="1:8" ht="12.75">
      <c r="A1195" s="36"/>
      <c r="B1195" s="37"/>
      <c r="C1195" s="54"/>
      <c r="D1195" s="54"/>
      <c r="E1195" s="55"/>
      <c r="F1195" s="54"/>
      <c r="G1195" s="38"/>
      <c r="H1195" s="38"/>
    </row>
    <row r="1196" spans="1:8" ht="12.75">
      <c r="A1196" s="36"/>
      <c r="B1196" s="37"/>
      <c r="C1196" s="54"/>
      <c r="D1196" s="54"/>
      <c r="E1196" s="55"/>
      <c r="F1196" s="54"/>
      <c r="G1196" s="38"/>
      <c r="H1196" s="38"/>
    </row>
    <row r="1197" spans="1:8" ht="12.75">
      <c r="A1197" s="36"/>
      <c r="B1197" s="37"/>
      <c r="C1197" s="54"/>
      <c r="D1197" s="54"/>
      <c r="E1197" s="55"/>
      <c r="F1197" s="54"/>
      <c r="G1197" s="38"/>
      <c r="H1197" s="38"/>
    </row>
    <row r="1198" spans="1:8" ht="12.75">
      <c r="A1198" s="36"/>
      <c r="B1198" s="37"/>
      <c r="C1198" s="54"/>
      <c r="D1198" s="54"/>
      <c r="E1198" s="55"/>
      <c r="F1198" s="54"/>
      <c r="G1198" s="38"/>
      <c r="H1198" s="38"/>
    </row>
    <row r="1199" spans="1:8" ht="12.75">
      <c r="A1199" s="36"/>
      <c r="B1199" s="37"/>
      <c r="C1199" s="54"/>
      <c r="D1199" s="54"/>
      <c r="E1199" s="55"/>
      <c r="F1199" s="54"/>
      <c r="G1199" s="38"/>
      <c r="H1199" s="38"/>
    </row>
    <row r="1200" spans="1:8" ht="12.75">
      <c r="A1200" s="36"/>
      <c r="B1200" s="37"/>
      <c r="C1200" s="54"/>
      <c r="D1200" s="54"/>
      <c r="E1200" s="55"/>
      <c r="F1200" s="54"/>
      <c r="G1200" s="38"/>
      <c r="H1200" s="38"/>
    </row>
    <row r="1201" spans="1:8" ht="12.75">
      <c r="A1201" s="36"/>
      <c r="B1201" s="37"/>
      <c r="C1201" s="54"/>
      <c r="D1201" s="54"/>
      <c r="E1201" s="55"/>
      <c r="F1201" s="54"/>
      <c r="G1201" s="38"/>
      <c r="H1201" s="38"/>
    </row>
    <row r="1202" spans="1:8" ht="12.75">
      <c r="A1202" s="36"/>
      <c r="B1202" s="37"/>
      <c r="C1202" s="54"/>
      <c r="D1202" s="54"/>
      <c r="E1202" s="55"/>
      <c r="F1202" s="54"/>
      <c r="G1202" s="38"/>
      <c r="H1202" s="38"/>
    </row>
    <row r="1203" spans="1:8" ht="12.75">
      <c r="A1203" s="36"/>
      <c r="B1203" s="37"/>
      <c r="C1203" s="54"/>
      <c r="D1203" s="54"/>
      <c r="E1203" s="55"/>
      <c r="F1203" s="54"/>
      <c r="G1203" s="38"/>
      <c r="H1203" s="38"/>
    </row>
    <row r="1204" spans="1:8" ht="12.75">
      <c r="A1204" s="36"/>
      <c r="B1204" s="37"/>
      <c r="C1204" s="54"/>
      <c r="D1204" s="54"/>
      <c r="E1204" s="55"/>
      <c r="F1204" s="54"/>
      <c r="G1204" s="38"/>
      <c r="H1204" s="38"/>
    </row>
    <row r="1205" spans="1:8" ht="12.75">
      <c r="A1205" s="36"/>
      <c r="B1205" s="37"/>
      <c r="C1205" s="54"/>
      <c r="D1205" s="54"/>
      <c r="E1205" s="55"/>
      <c r="F1205" s="54"/>
      <c r="G1205" s="38"/>
      <c r="H1205" s="38"/>
    </row>
    <row r="1206" spans="1:8" ht="12.75">
      <c r="A1206" s="36"/>
      <c r="B1206" s="37"/>
      <c r="C1206" s="54"/>
      <c r="D1206" s="54"/>
      <c r="E1206" s="55"/>
      <c r="F1206" s="54"/>
      <c r="G1206" s="38"/>
      <c r="H1206" s="38"/>
    </row>
    <row r="1207" spans="1:8" ht="12.75">
      <c r="A1207" s="36"/>
      <c r="B1207" s="37"/>
      <c r="C1207" s="54"/>
      <c r="D1207" s="54"/>
      <c r="E1207" s="55"/>
      <c r="F1207" s="54"/>
      <c r="G1207" s="38"/>
      <c r="H1207" s="38"/>
    </row>
    <row r="1208" spans="1:8" ht="12.75">
      <c r="A1208" s="36"/>
      <c r="B1208" s="37"/>
      <c r="C1208" s="54"/>
      <c r="D1208" s="54"/>
      <c r="E1208" s="55"/>
      <c r="F1208" s="54"/>
      <c r="G1208" s="38"/>
      <c r="H1208" s="38"/>
    </row>
    <row r="1209" spans="1:8" ht="12.75">
      <c r="A1209" s="36"/>
      <c r="B1209" s="37"/>
      <c r="C1209" s="54"/>
      <c r="D1209" s="54"/>
      <c r="E1209" s="55"/>
      <c r="F1209" s="54"/>
      <c r="G1209" s="38"/>
      <c r="H1209" s="38"/>
    </row>
    <row r="1210" spans="1:8" ht="12.75">
      <c r="A1210" s="36"/>
      <c r="B1210" s="37"/>
      <c r="C1210" s="54"/>
      <c r="D1210" s="54"/>
      <c r="E1210" s="55"/>
      <c r="F1210" s="54"/>
      <c r="G1210" s="38"/>
      <c r="H1210" s="38"/>
    </row>
    <row r="1211" spans="1:8" ht="12.75">
      <c r="A1211" s="36"/>
      <c r="B1211" s="37"/>
      <c r="C1211" s="54"/>
      <c r="D1211" s="54"/>
      <c r="E1211" s="55"/>
      <c r="F1211" s="54"/>
      <c r="G1211" s="38"/>
      <c r="H1211" s="38"/>
    </row>
    <row r="1212" spans="1:8" ht="12.75">
      <c r="A1212" s="36"/>
      <c r="B1212" s="37"/>
      <c r="C1212" s="54"/>
      <c r="D1212" s="54"/>
      <c r="E1212" s="55"/>
      <c r="F1212" s="54"/>
      <c r="G1212" s="38"/>
      <c r="H1212" s="38"/>
    </row>
    <row r="1213" spans="1:8" ht="12.75">
      <c r="A1213" s="36"/>
      <c r="B1213" s="37"/>
      <c r="C1213" s="54"/>
      <c r="D1213" s="54"/>
      <c r="E1213" s="55"/>
      <c r="F1213" s="54"/>
      <c r="G1213" s="38"/>
      <c r="H1213" s="38"/>
    </row>
    <row r="1214" spans="1:8" ht="12.75">
      <c r="A1214" s="36"/>
      <c r="B1214" s="37"/>
      <c r="C1214" s="54"/>
      <c r="D1214" s="54"/>
      <c r="E1214" s="55"/>
      <c r="F1214" s="54"/>
      <c r="G1214" s="38"/>
      <c r="H1214" s="38"/>
    </row>
    <row r="1215" spans="1:8" ht="12.75">
      <c r="A1215" s="36"/>
      <c r="B1215" s="37"/>
      <c r="C1215" s="54"/>
      <c r="D1215" s="54"/>
      <c r="E1215" s="55"/>
      <c r="F1215" s="54"/>
      <c r="G1215" s="38"/>
      <c r="H1215" s="38"/>
    </row>
    <row r="1216" spans="1:8" ht="12.75">
      <c r="A1216" s="36"/>
      <c r="B1216" s="37"/>
      <c r="C1216" s="54"/>
      <c r="D1216" s="54"/>
      <c r="E1216" s="55"/>
      <c r="F1216" s="54"/>
      <c r="G1216" s="38"/>
      <c r="H1216" s="38"/>
    </row>
    <row r="1217" spans="1:8" ht="12.75">
      <c r="A1217" s="36"/>
      <c r="B1217" s="37"/>
      <c r="C1217" s="54"/>
      <c r="D1217" s="54"/>
      <c r="E1217" s="55"/>
      <c r="F1217" s="54"/>
      <c r="G1217" s="38"/>
      <c r="H1217" s="38"/>
    </row>
    <row r="1218" spans="1:8" ht="12.75">
      <c r="A1218" s="36"/>
      <c r="B1218" s="37"/>
      <c r="C1218" s="54"/>
      <c r="D1218" s="54"/>
      <c r="E1218" s="55"/>
      <c r="F1218" s="54"/>
      <c r="G1218" s="38"/>
      <c r="H1218" s="38"/>
    </row>
    <row r="1219" spans="1:8" ht="12.75">
      <c r="A1219" s="36"/>
      <c r="B1219" s="37"/>
      <c r="C1219" s="54"/>
      <c r="D1219" s="54"/>
      <c r="E1219" s="55"/>
      <c r="F1219" s="54"/>
      <c r="G1219" s="38"/>
      <c r="H1219" s="38"/>
    </row>
    <row r="1220" spans="1:8" ht="12.75">
      <c r="A1220" s="36"/>
      <c r="B1220" s="37"/>
      <c r="C1220" s="54"/>
      <c r="D1220" s="54"/>
      <c r="E1220" s="55"/>
      <c r="F1220" s="54"/>
      <c r="G1220" s="38"/>
      <c r="H1220" s="38"/>
    </row>
    <row r="1221" spans="1:8" ht="12.75">
      <c r="A1221" s="36"/>
      <c r="B1221" s="37"/>
      <c r="C1221" s="54"/>
      <c r="D1221" s="54"/>
      <c r="E1221" s="55"/>
      <c r="F1221" s="54"/>
      <c r="G1221" s="38"/>
      <c r="H1221" s="38"/>
    </row>
    <row r="1222" spans="1:8" ht="12.75">
      <c r="A1222" s="36"/>
      <c r="B1222" s="37"/>
      <c r="C1222" s="54"/>
      <c r="D1222" s="54"/>
      <c r="E1222" s="55"/>
      <c r="F1222" s="54"/>
      <c r="G1222" s="38"/>
      <c r="H1222" s="38"/>
    </row>
    <row r="1223" spans="1:8" ht="12.75">
      <c r="A1223" s="36"/>
      <c r="B1223" s="37"/>
      <c r="C1223" s="54"/>
      <c r="D1223" s="54"/>
      <c r="E1223" s="55"/>
      <c r="F1223" s="54"/>
      <c r="G1223" s="38"/>
      <c r="H1223" s="38"/>
    </row>
    <row r="1224" spans="1:8" ht="12.75">
      <c r="A1224" s="36"/>
      <c r="B1224" s="37"/>
      <c r="C1224" s="54"/>
      <c r="D1224" s="54"/>
      <c r="E1224" s="55"/>
      <c r="F1224" s="54"/>
      <c r="G1224" s="38"/>
      <c r="H1224" s="38"/>
    </row>
    <row r="1225" spans="1:8" ht="12.75">
      <c r="A1225" s="36"/>
      <c r="B1225" s="37"/>
      <c r="C1225" s="54"/>
      <c r="D1225" s="54"/>
      <c r="E1225" s="55"/>
      <c r="F1225" s="54"/>
      <c r="G1225" s="38"/>
      <c r="H1225" s="38"/>
    </row>
    <row r="1226" spans="1:8" ht="12.75">
      <c r="A1226" s="36"/>
      <c r="B1226" s="37"/>
      <c r="C1226" s="54"/>
      <c r="D1226" s="54"/>
      <c r="E1226" s="55"/>
      <c r="F1226" s="54"/>
      <c r="G1226" s="38"/>
      <c r="H1226" s="38"/>
    </row>
    <row r="1227" spans="1:8" ht="12.75">
      <c r="A1227" s="36"/>
      <c r="B1227" s="37"/>
      <c r="C1227" s="54"/>
      <c r="D1227" s="54"/>
      <c r="E1227" s="55"/>
      <c r="F1227" s="54"/>
      <c r="G1227" s="38"/>
      <c r="H1227" s="38"/>
    </row>
    <row r="1228" spans="1:8" ht="12.75">
      <c r="A1228" s="36"/>
      <c r="B1228" s="37"/>
      <c r="C1228" s="54"/>
      <c r="D1228" s="54"/>
      <c r="E1228" s="55"/>
      <c r="F1228" s="54"/>
      <c r="G1228" s="38"/>
      <c r="H1228" s="38"/>
    </row>
    <row r="1229" spans="1:8" ht="12.75">
      <c r="A1229" s="36"/>
      <c r="B1229" s="37"/>
      <c r="C1229" s="54"/>
      <c r="D1229" s="54"/>
      <c r="E1229" s="55"/>
      <c r="F1229" s="54"/>
      <c r="G1229" s="38"/>
      <c r="H1229" s="38"/>
    </row>
    <row r="1230" spans="1:8" ht="12.75">
      <c r="A1230" s="36"/>
      <c r="B1230" s="37"/>
      <c r="C1230" s="54"/>
      <c r="D1230" s="54"/>
      <c r="E1230" s="55"/>
      <c r="F1230" s="54"/>
      <c r="G1230" s="38"/>
      <c r="H1230" s="38"/>
    </row>
    <row r="1231" spans="1:8" ht="12.75">
      <c r="A1231" s="36"/>
      <c r="B1231" s="37"/>
      <c r="C1231" s="54"/>
      <c r="D1231" s="54"/>
      <c r="E1231" s="55"/>
      <c r="F1231" s="54"/>
      <c r="G1231" s="38"/>
      <c r="H1231" s="38"/>
    </row>
    <row r="1232" spans="1:8" ht="12.75">
      <c r="A1232" s="36"/>
      <c r="B1232" s="37"/>
      <c r="C1232" s="54"/>
      <c r="D1232" s="54"/>
      <c r="E1232" s="55"/>
      <c r="F1232" s="54"/>
      <c r="G1232" s="38"/>
      <c r="H1232" s="38"/>
    </row>
    <row r="1233" spans="1:8" ht="12.75">
      <c r="A1233" s="36"/>
      <c r="B1233" s="37"/>
      <c r="C1233" s="54"/>
      <c r="D1233" s="54"/>
      <c r="E1233" s="55"/>
      <c r="F1233" s="54"/>
      <c r="G1233" s="38"/>
      <c r="H1233" s="38"/>
    </row>
    <row r="1234" spans="1:8" ht="12.75">
      <c r="A1234" s="36"/>
      <c r="B1234" s="37"/>
      <c r="C1234" s="54"/>
      <c r="D1234" s="54"/>
      <c r="E1234" s="55"/>
      <c r="F1234" s="54"/>
      <c r="G1234" s="38"/>
      <c r="H1234" s="38"/>
    </row>
    <row r="1235" spans="1:8" ht="12.75">
      <c r="A1235" s="36"/>
      <c r="B1235" s="37"/>
      <c r="C1235" s="54"/>
      <c r="D1235" s="54"/>
      <c r="E1235" s="55"/>
      <c r="F1235" s="54"/>
      <c r="G1235" s="38"/>
      <c r="H1235" s="38"/>
    </row>
    <row r="1236" spans="1:8" ht="12.75">
      <c r="A1236" s="36"/>
      <c r="B1236" s="37"/>
      <c r="C1236" s="54"/>
      <c r="D1236" s="54"/>
      <c r="E1236" s="55"/>
      <c r="F1236" s="54"/>
      <c r="G1236" s="38"/>
      <c r="H1236" s="38"/>
    </row>
    <row r="1237" spans="1:8" ht="12.75">
      <c r="A1237" s="36"/>
      <c r="B1237" s="37"/>
      <c r="C1237" s="54"/>
      <c r="D1237" s="54"/>
      <c r="E1237" s="55"/>
      <c r="F1237" s="54"/>
      <c r="G1237" s="38"/>
      <c r="H1237" s="38"/>
    </row>
    <row r="1238" spans="1:8" ht="12.75">
      <c r="A1238" s="36"/>
      <c r="B1238" s="37"/>
      <c r="C1238" s="54"/>
      <c r="D1238" s="54"/>
      <c r="E1238" s="55"/>
      <c r="F1238" s="54"/>
      <c r="G1238" s="38"/>
      <c r="H1238" s="38"/>
    </row>
    <row r="1239" spans="1:8" ht="12.75">
      <c r="A1239" s="36"/>
      <c r="B1239" s="37"/>
      <c r="C1239" s="54"/>
      <c r="D1239" s="54"/>
      <c r="E1239" s="55"/>
      <c r="F1239" s="54"/>
      <c r="G1239" s="38"/>
      <c r="H1239" s="38"/>
    </row>
    <row r="1240" spans="1:8" ht="12.75">
      <c r="A1240" s="36"/>
      <c r="B1240" s="37"/>
      <c r="C1240" s="54"/>
      <c r="D1240" s="54"/>
      <c r="E1240" s="55"/>
      <c r="F1240" s="54"/>
      <c r="G1240" s="38"/>
      <c r="H1240" s="38"/>
    </row>
    <row r="1241" spans="1:8" ht="12.75">
      <c r="A1241" s="36"/>
      <c r="B1241" s="37"/>
      <c r="C1241" s="54"/>
      <c r="D1241" s="54"/>
      <c r="E1241" s="55"/>
      <c r="F1241" s="54"/>
      <c r="G1241" s="38"/>
      <c r="H1241" s="38"/>
    </row>
    <row r="1242" spans="1:8" ht="12.75">
      <c r="A1242" s="36"/>
      <c r="B1242" s="37"/>
      <c r="C1242" s="54"/>
      <c r="D1242" s="54"/>
      <c r="E1242" s="55"/>
      <c r="F1242" s="54"/>
      <c r="G1242" s="38"/>
      <c r="H1242" s="38"/>
    </row>
    <row r="1243" spans="1:8" ht="12.75">
      <c r="A1243" s="36"/>
      <c r="B1243" s="37"/>
      <c r="C1243" s="54"/>
      <c r="D1243" s="54"/>
      <c r="E1243" s="55"/>
      <c r="F1243" s="54"/>
      <c r="G1243" s="38"/>
      <c r="H1243" s="38"/>
    </row>
    <row r="1244" spans="1:8" ht="12.75">
      <c r="A1244" s="36"/>
      <c r="B1244" s="37"/>
      <c r="C1244" s="54"/>
      <c r="D1244" s="54"/>
      <c r="E1244" s="55"/>
      <c r="F1244" s="54"/>
      <c r="G1244" s="38"/>
      <c r="H1244" s="38"/>
    </row>
    <row r="1245" spans="1:8" ht="12.75">
      <c r="A1245" s="36"/>
      <c r="B1245" s="37"/>
      <c r="C1245" s="54"/>
      <c r="D1245" s="54"/>
      <c r="E1245" s="55"/>
      <c r="F1245" s="54"/>
      <c r="G1245" s="38"/>
      <c r="H1245" s="38"/>
    </row>
    <row r="1246" spans="1:8" ht="12.75">
      <c r="A1246" s="36"/>
      <c r="B1246" s="37"/>
      <c r="C1246" s="54"/>
      <c r="D1246" s="54"/>
      <c r="E1246" s="55"/>
      <c r="F1246" s="54"/>
      <c r="G1246" s="38"/>
      <c r="H1246" s="38"/>
    </row>
    <row r="1247" spans="1:8" ht="12.75">
      <c r="A1247" s="36"/>
      <c r="B1247" s="37"/>
      <c r="C1247" s="54"/>
      <c r="D1247" s="54"/>
      <c r="E1247" s="55"/>
      <c r="F1247" s="54"/>
      <c r="G1247" s="38"/>
      <c r="H1247" s="38"/>
    </row>
    <row r="1248" spans="1:8" ht="12.75">
      <c r="A1248" s="36"/>
      <c r="B1248" s="37"/>
      <c r="C1248" s="54"/>
      <c r="D1248" s="54"/>
      <c r="E1248" s="55"/>
      <c r="F1248" s="54"/>
      <c r="G1248" s="38"/>
      <c r="H1248" s="38"/>
    </row>
    <row r="1249" spans="1:8" ht="12.75">
      <c r="A1249" s="36"/>
      <c r="B1249" s="37"/>
      <c r="C1249" s="54"/>
      <c r="D1249" s="54"/>
      <c r="E1249" s="55"/>
      <c r="F1249" s="54"/>
      <c r="G1249" s="38"/>
      <c r="H1249" s="38"/>
    </row>
    <row r="1250" spans="1:8" ht="12.75">
      <c r="A1250" s="36"/>
      <c r="B1250" s="37"/>
      <c r="C1250" s="54"/>
      <c r="D1250" s="54"/>
      <c r="E1250" s="55"/>
      <c r="F1250" s="54"/>
      <c r="G1250" s="38"/>
      <c r="H1250" s="38"/>
    </row>
    <row r="1251" spans="1:8" ht="12.75">
      <c r="A1251" s="36"/>
      <c r="B1251" s="37"/>
      <c r="C1251" s="54"/>
      <c r="D1251" s="54"/>
      <c r="E1251" s="55"/>
      <c r="F1251" s="54"/>
      <c r="G1251" s="38"/>
      <c r="H1251" s="38"/>
    </row>
    <row r="1252" spans="1:8" ht="12.75">
      <c r="A1252" s="36"/>
      <c r="B1252" s="37"/>
      <c r="C1252" s="54"/>
      <c r="D1252" s="54"/>
      <c r="E1252" s="55"/>
      <c r="F1252" s="54"/>
      <c r="G1252" s="38"/>
      <c r="H1252" s="38"/>
    </row>
    <row r="1253" spans="1:8" ht="12.75">
      <c r="A1253" s="36"/>
      <c r="B1253" s="37"/>
      <c r="C1253" s="54"/>
      <c r="D1253" s="54"/>
      <c r="E1253" s="55"/>
      <c r="F1253" s="54"/>
      <c r="G1253" s="38"/>
      <c r="H1253" s="38"/>
    </row>
    <row r="1254" spans="1:8" ht="12.75">
      <c r="A1254" s="36"/>
      <c r="B1254" s="37"/>
      <c r="C1254" s="54"/>
      <c r="D1254" s="54"/>
      <c r="E1254" s="55"/>
      <c r="F1254" s="54"/>
      <c r="G1254" s="38"/>
      <c r="H1254" s="38"/>
    </row>
    <row r="1255" spans="1:8" ht="12.75">
      <c r="A1255" s="36"/>
      <c r="B1255" s="37"/>
      <c r="C1255" s="54"/>
      <c r="D1255" s="54"/>
      <c r="E1255" s="55"/>
      <c r="F1255" s="54"/>
      <c r="G1255" s="38"/>
      <c r="H1255" s="38"/>
    </row>
    <row r="1256" spans="1:8" ht="12.75">
      <c r="A1256" s="36"/>
      <c r="B1256" s="37"/>
      <c r="C1256" s="54"/>
      <c r="D1256" s="54"/>
      <c r="E1256" s="55"/>
      <c r="F1256" s="54"/>
      <c r="G1256" s="38"/>
      <c r="H1256" s="38"/>
    </row>
    <row r="1257" spans="1:8" ht="12.75">
      <c r="A1257" s="36"/>
      <c r="B1257" s="37"/>
      <c r="C1257" s="54"/>
      <c r="D1257" s="54"/>
      <c r="E1257" s="55"/>
      <c r="F1257" s="54"/>
      <c r="G1257" s="38"/>
      <c r="H1257" s="38"/>
    </row>
    <row r="1258" spans="1:8" ht="12.75">
      <c r="A1258" s="36"/>
      <c r="B1258" s="37"/>
      <c r="C1258" s="54"/>
      <c r="D1258" s="54"/>
      <c r="E1258" s="55"/>
      <c r="F1258" s="54"/>
      <c r="G1258" s="38"/>
      <c r="H1258" s="38"/>
    </row>
    <row r="1259" spans="1:8" ht="12.75">
      <c r="A1259" s="36"/>
      <c r="B1259" s="37"/>
      <c r="C1259" s="54"/>
      <c r="D1259" s="54"/>
      <c r="E1259" s="55"/>
      <c r="F1259" s="54"/>
      <c r="G1259" s="38"/>
      <c r="H1259" s="38"/>
    </row>
    <row r="1260" spans="1:8" ht="12.75">
      <c r="A1260" s="36"/>
      <c r="B1260" s="37"/>
      <c r="C1260" s="54"/>
      <c r="D1260" s="54"/>
      <c r="E1260" s="55"/>
      <c r="F1260" s="54"/>
      <c r="G1260" s="38"/>
      <c r="H1260" s="38"/>
    </row>
    <row r="1261" spans="1:8" ht="12.75">
      <c r="A1261" s="36"/>
      <c r="B1261" s="37"/>
      <c r="C1261" s="54"/>
      <c r="D1261" s="54"/>
      <c r="E1261" s="55"/>
      <c r="F1261" s="54"/>
      <c r="G1261" s="38"/>
      <c r="H1261" s="38"/>
    </row>
    <row r="1262" spans="1:8" ht="12.75">
      <c r="A1262" s="36"/>
      <c r="B1262" s="37"/>
      <c r="C1262" s="54"/>
      <c r="D1262" s="54"/>
      <c r="E1262" s="55"/>
      <c r="F1262" s="54"/>
      <c r="G1262" s="38"/>
      <c r="H1262" s="38"/>
    </row>
    <row r="1263" spans="1:8" ht="12.75">
      <c r="A1263" s="36"/>
      <c r="B1263" s="37"/>
      <c r="C1263" s="54"/>
      <c r="D1263" s="54"/>
      <c r="E1263" s="55"/>
      <c r="F1263" s="54"/>
      <c r="G1263" s="38"/>
      <c r="H1263" s="38"/>
    </row>
    <row r="1264" spans="1:8" ht="12.75">
      <c r="A1264" s="36"/>
      <c r="B1264" s="37"/>
      <c r="C1264" s="54"/>
      <c r="D1264" s="54"/>
      <c r="E1264" s="55"/>
      <c r="F1264" s="54"/>
      <c r="G1264" s="38"/>
      <c r="H1264" s="38"/>
    </row>
    <row r="1265" spans="1:8" ht="12.75">
      <c r="A1265" s="36"/>
      <c r="B1265" s="37"/>
      <c r="C1265" s="54"/>
      <c r="D1265" s="54"/>
      <c r="E1265" s="55"/>
      <c r="F1265" s="54"/>
      <c r="G1265" s="38"/>
      <c r="H1265" s="38"/>
    </row>
    <row r="1266" spans="1:8" ht="12.75">
      <c r="A1266" s="36"/>
      <c r="B1266" s="37"/>
      <c r="C1266" s="54"/>
      <c r="D1266" s="54"/>
      <c r="E1266" s="55"/>
      <c r="F1266" s="54"/>
      <c r="G1266" s="38"/>
      <c r="H1266" s="38"/>
    </row>
    <row r="1267" spans="1:8" ht="12.75">
      <c r="A1267" s="36"/>
      <c r="B1267" s="37"/>
      <c r="C1267" s="54"/>
      <c r="D1267" s="54"/>
      <c r="E1267" s="55"/>
      <c r="F1267" s="54"/>
      <c r="G1267" s="38"/>
      <c r="H1267" s="38"/>
    </row>
    <row r="1268" spans="1:8" ht="12.75">
      <c r="A1268" s="36"/>
      <c r="B1268" s="37"/>
      <c r="C1268" s="54"/>
      <c r="D1268" s="54"/>
      <c r="E1268" s="55"/>
      <c r="F1268" s="54"/>
      <c r="G1268" s="38"/>
      <c r="H1268" s="38"/>
    </row>
    <row r="1269" spans="1:8" ht="12.75">
      <c r="A1269" s="36"/>
      <c r="B1269" s="37"/>
      <c r="C1269" s="54"/>
      <c r="D1269" s="54"/>
      <c r="E1269" s="55"/>
      <c r="F1269" s="54"/>
      <c r="G1269" s="38"/>
      <c r="H1269" s="38"/>
    </row>
    <row r="1270" spans="1:8" ht="12.75">
      <c r="A1270" s="36"/>
      <c r="B1270" s="37"/>
      <c r="C1270" s="54"/>
      <c r="D1270" s="54"/>
      <c r="E1270" s="55"/>
      <c r="F1270" s="54"/>
      <c r="G1270" s="38"/>
      <c r="H1270" s="38"/>
    </row>
    <row r="1271" spans="1:8" ht="12.75">
      <c r="A1271" s="36"/>
      <c r="B1271" s="37"/>
      <c r="C1271" s="54"/>
      <c r="D1271" s="54"/>
      <c r="E1271" s="55"/>
      <c r="F1271" s="54"/>
      <c r="G1271" s="38"/>
      <c r="H1271" s="38"/>
    </row>
    <row r="1272" spans="1:8" ht="12.75">
      <c r="A1272" s="36"/>
      <c r="B1272" s="37"/>
      <c r="C1272" s="54"/>
      <c r="D1272" s="54"/>
      <c r="E1272" s="55"/>
      <c r="F1272" s="54"/>
      <c r="G1272" s="38"/>
      <c r="H1272" s="38"/>
    </row>
    <row r="1273" spans="1:8" ht="12.75">
      <c r="A1273" s="36"/>
      <c r="B1273" s="37"/>
      <c r="C1273" s="54"/>
      <c r="D1273" s="54"/>
      <c r="E1273" s="55"/>
      <c r="F1273" s="54"/>
      <c r="G1273" s="38"/>
      <c r="H1273" s="38"/>
    </row>
    <row r="1274" spans="1:8" ht="12.75">
      <c r="A1274" s="36"/>
      <c r="B1274" s="37"/>
      <c r="C1274" s="54"/>
      <c r="D1274" s="54"/>
      <c r="E1274" s="55"/>
      <c r="F1274" s="54"/>
      <c r="G1274" s="38"/>
      <c r="H1274" s="38"/>
    </row>
    <row r="1275" spans="1:8" ht="12.75">
      <c r="A1275" s="36"/>
      <c r="B1275" s="37"/>
      <c r="C1275" s="54"/>
      <c r="D1275" s="54"/>
      <c r="E1275" s="55"/>
      <c r="F1275" s="54"/>
      <c r="G1275" s="38"/>
      <c r="H1275" s="38"/>
    </row>
    <row r="1276" spans="1:8" ht="12.75">
      <c r="A1276" s="36"/>
      <c r="B1276" s="37"/>
      <c r="C1276" s="54"/>
      <c r="D1276" s="54"/>
      <c r="E1276" s="55"/>
      <c r="F1276" s="54"/>
      <c r="G1276" s="38"/>
      <c r="H1276" s="38"/>
    </row>
    <row r="1277" spans="1:8" ht="12.75">
      <c r="A1277" s="36"/>
      <c r="B1277" s="37"/>
      <c r="C1277" s="54"/>
      <c r="D1277" s="54"/>
      <c r="E1277" s="55"/>
      <c r="F1277" s="54"/>
      <c r="G1277" s="38"/>
      <c r="H1277" s="38"/>
    </row>
    <row r="1278" spans="1:8" ht="12.75">
      <c r="A1278" s="36"/>
      <c r="B1278" s="37"/>
      <c r="C1278" s="54"/>
      <c r="D1278" s="54"/>
      <c r="E1278" s="55"/>
      <c r="F1278" s="54"/>
      <c r="G1278" s="38"/>
      <c r="H1278" s="38"/>
    </row>
    <row r="1279" spans="1:8" ht="12.75">
      <c r="A1279" s="36"/>
      <c r="B1279" s="37"/>
      <c r="C1279" s="54"/>
      <c r="D1279" s="54"/>
      <c r="E1279" s="55"/>
      <c r="F1279" s="54"/>
      <c r="G1279" s="38"/>
      <c r="H1279" s="38"/>
    </row>
    <row r="1280" spans="1:8" ht="12.75">
      <c r="A1280" s="36"/>
      <c r="B1280" s="37"/>
      <c r="C1280" s="54"/>
      <c r="D1280" s="54"/>
      <c r="E1280" s="55"/>
      <c r="F1280" s="54"/>
      <c r="G1280" s="38"/>
      <c r="H1280" s="38"/>
    </row>
    <row r="1281" spans="1:8" ht="12.75">
      <c r="A1281" s="36"/>
      <c r="B1281" s="37"/>
      <c r="C1281" s="54"/>
      <c r="D1281" s="54"/>
      <c r="E1281" s="55"/>
      <c r="F1281" s="54"/>
      <c r="G1281" s="38"/>
      <c r="H1281" s="38"/>
    </row>
    <row r="1282" spans="1:8" ht="12.75">
      <c r="A1282" s="36"/>
      <c r="B1282" s="37"/>
      <c r="C1282" s="54"/>
      <c r="D1282" s="54"/>
      <c r="E1282" s="55"/>
      <c r="F1282" s="54"/>
      <c r="G1282" s="38"/>
      <c r="H1282" s="38"/>
    </row>
    <row r="1283" spans="1:8" ht="12.75">
      <c r="A1283" s="36"/>
      <c r="B1283" s="37"/>
      <c r="C1283" s="54"/>
      <c r="D1283" s="54"/>
      <c r="E1283" s="55"/>
      <c r="F1283" s="54"/>
      <c r="G1283" s="38"/>
      <c r="H1283" s="38"/>
    </row>
    <row r="1284" spans="1:8" ht="12.75">
      <c r="A1284" s="36"/>
      <c r="B1284" s="37"/>
      <c r="C1284" s="54"/>
      <c r="D1284" s="54"/>
      <c r="E1284" s="55"/>
      <c r="F1284" s="54"/>
      <c r="G1284" s="38"/>
      <c r="H1284" s="38"/>
    </row>
    <row r="1285" spans="1:8" ht="12.75">
      <c r="A1285" s="36"/>
      <c r="B1285" s="37"/>
      <c r="C1285" s="54"/>
      <c r="D1285" s="54"/>
      <c r="E1285" s="55"/>
      <c r="F1285" s="54"/>
      <c r="G1285" s="38"/>
      <c r="H1285" s="38"/>
    </row>
    <row r="1286" spans="1:8" ht="12.75">
      <c r="A1286" s="36"/>
      <c r="B1286" s="37"/>
      <c r="C1286" s="54"/>
      <c r="D1286" s="54"/>
      <c r="E1286" s="55"/>
      <c r="F1286" s="54"/>
      <c r="G1286" s="38"/>
      <c r="H1286" s="38"/>
    </row>
    <row r="1287" spans="1:8" ht="12.75">
      <c r="A1287" s="36"/>
      <c r="B1287" s="37"/>
      <c r="C1287" s="54"/>
      <c r="D1287" s="54"/>
      <c r="E1287" s="55"/>
      <c r="F1287" s="54"/>
      <c r="G1287" s="38"/>
      <c r="H1287" s="38"/>
    </row>
    <row r="1288" spans="1:8" ht="12.75">
      <c r="A1288" s="36"/>
      <c r="B1288" s="37"/>
      <c r="C1288" s="54"/>
      <c r="D1288" s="54"/>
      <c r="E1288" s="55"/>
      <c r="F1288" s="54"/>
      <c r="G1288" s="38"/>
      <c r="H1288" s="38"/>
    </row>
    <row r="1289" spans="1:8" ht="12.75">
      <c r="A1289" s="36"/>
      <c r="B1289" s="37"/>
      <c r="C1289" s="54"/>
      <c r="D1289" s="54"/>
      <c r="E1289" s="55"/>
      <c r="F1289" s="54"/>
      <c r="G1289" s="38"/>
      <c r="H1289" s="38"/>
    </row>
    <row r="1290" spans="1:8" ht="12.75">
      <c r="A1290" s="36"/>
      <c r="B1290" s="37"/>
      <c r="C1290" s="54"/>
      <c r="D1290" s="54"/>
      <c r="E1290" s="55"/>
      <c r="F1290" s="54"/>
      <c r="G1290" s="38"/>
      <c r="H1290" s="38"/>
    </row>
    <row r="1291" spans="1:8" ht="12.75">
      <c r="A1291" s="36"/>
      <c r="B1291" s="37"/>
      <c r="C1291" s="54"/>
      <c r="D1291" s="54"/>
      <c r="E1291" s="55"/>
      <c r="F1291" s="54"/>
      <c r="G1291" s="38"/>
      <c r="H1291" s="38"/>
    </row>
    <row r="1292" spans="1:8" ht="12.75">
      <c r="A1292" s="36"/>
      <c r="B1292" s="37"/>
      <c r="C1292" s="54"/>
      <c r="D1292" s="54"/>
      <c r="E1292" s="55"/>
      <c r="F1292" s="54"/>
      <c r="G1292" s="38"/>
      <c r="H1292" s="38"/>
    </row>
    <row r="1293" spans="1:8" ht="12.75">
      <c r="A1293" s="36"/>
      <c r="B1293" s="37"/>
      <c r="C1293" s="54"/>
      <c r="D1293" s="54"/>
      <c r="E1293" s="55"/>
      <c r="F1293" s="54"/>
      <c r="G1293" s="38"/>
      <c r="H1293" s="38"/>
    </row>
    <row r="1294" spans="1:8" ht="12.75">
      <c r="A1294" s="36"/>
      <c r="B1294" s="37"/>
      <c r="C1294" s="54"/>
      <c r="D1294" s="54"/>
      <c r="E1294" s="55"/>
      <c r="F1294" s="54"/>
      <c r="G1294" s="38"/>
      <c r="H1294" s="38"/>
    </row>
    <row r="1295" spans="1:8" ht="12.75">
      <c r="A1295" s="36"/>
      <c r="B1295" s="37"/>
      <c r="C1295" s="54"/>
      <c r="D1295" s="54"/>
      <c r="E1295" s="55"/>
      <c r="F1295" s="54"/>
      <c r="G1295" s="38"/>
      <c r="H1295" s="38"/>
    </row>
    <row r="1296" spans="1:8" ht="12.75">
      <c r="A1296" s="36"/>
      <c r="B1296" s="37"/>
      <c r="C1296" s="54"/>
      <c r="D1296" s="54"/>
      <c r="E1296" s="55"/>
      <c r="F1296" s="54"/>
      <c r="G1296" s="38"/>
      <c r="H1296" s="38"/>
    </row>
    <row r="1297" spans="1:8" ht="12.75">
      <c r="A1297" s="36"/>
      <c r="B1297" s="37"/>
      <c r="C1297" s="54"/>
      <c r="D1297" s="54"/>
      <c r="E1297" s="55"/>
      <c r="F1297" s="54"/>
      <c r="G1297" s="38"/>
      <c r="H1297" s="38"/>
    </row>
    <row r="1298" spans="1:8" ht="12.75">
      <c r="A1298" s="36"/>
      <c r="B1298" s="37"/>
      <c r="C1298" s="54"/>
      <c r="D1298" s="54"/>
      <c r="E1298" s="55"/>
      <c r="F1298" s="54"/>
      <c r="G1298" s="38"/>
      <c r="H1298" s="38"/>
    </row>
    <row r="1299" spans="1:8" ht="12.75">
      <c r="A1299" s="36"/>
      <c r="B1299" s="37"/>
      <c r="C1299" s="54"/>
      <c r="D1299" s="54"/>
      <c r="E1299" s="55"/>
      <c r="F1299" s="54"/>
      <c r="G1299" s="38"/>
      <c r="H1299" s="38"/>
    </row>
    <row r="1300" spans="1:8" ht="12.75">
      <c r="A1300" s="36"/>
      <c r="B1300" s="37"/>
      <c r="C1300" s="54"/>
      <c r="D1300" s="54"/>
      <c r="E1300" s="55"/>
      <c r="F1300" s="54"/>
      <c r="G1300" s="38"/>
      <c r="H1300" s="38"/>
    </row>
    <row r="1301" spans="1:8" ht="12.75">
      <c r="A1301" s="36"/>
      <c r="B1301" s="37"/>
      <c r="C1301" s="54"/>
      <c r="D1301" s="54"/>
      <c r="E1301" s="55"/>
      <c r="F1301" s="54"/>
      <c r="G1301" s="38"/>
      <c r="H1301" s="38"/>
    </row>
    <row r="1302" spans="1:8" ht="12.75">
      <c r="A1302" s="36"/>
      <c r="B1302" s="37"/>
      <c r="C1302" s="54"/>
      <c r="D1302" s="54"/>
      <c r="E1302" s="55"/>
      <c r="F1302" s="54"/>
      <c r="G1302" s="38"/>
      <c r="H1302" s="38"/>
    </row>
    <row r="1303" spans="1:8" ht="12.75">
      <c r="A1303" s="36"/>
      <c r="B1303" s="37"/>
      <c r="C1303" s="54"/>
      <c r="D1303" s="54"/>
      <c r="E1303" s="55"/>
      <c r="F1303" s="54"/>
      <c r="G1303" s="38"/>
      <c r="H1303" s="38"/>
    </row>
    <row r="1304" spans="1:8" ht="12.75">
      <c r="A1304" s="36"/>
      <c r="B1304" s="37"/>
      <c r="C1304" s="54"/>
      <c r="D1304" s="54"/>
      <c r="E1304" s="55"/>
      <c r="F1304" s="54"/>
      <c r="G1304" s="38"/>
      <c r="H1304" s="38"/>
    </row>
    <row r="1305" spans="1:8" ht="12.75">
      <c r="A1305" s="36"/>
      <c r="B1305" s="37"/>
      <c r="C1305" s="54"/>
      <c r="D1305" s="54"/>
      <c r="E1305" s="55"/>
      <c r="F1305" s="54"/>
      <c r="G1305" s="38"/>
      <c r="H1305" s="38"/>
    </row>
    <row r="1306" spans="1:8" ht="12.75">
      <c r="A1306" s="36"/>
      <c r="B1306" s="37"/>
      <c r="C1306" s="54"/>
      <c r="D1306" s="54"/>
      <c r="E1306" s="55"/>
      <c r="F1306" s="54"/>
      <c r="G1306" s="38"/>
      <c r="H1306" s="38"/>
    </row>
    <row r="1307" spans="1:8" ht="12.75">
      <c r="A1307" s="36"/>
      <c r="B1307" s="37"/>
      <c r="C1307" s="54"/>
      <c r="D1307" s="54"/>
      <c r="E1307" s="55"/>
      <c r="F1307" s="54"/>
      <c r="G1307" s="38"/>
      <c r="H1307" s="38"/>
    </row>
    <row r="1308" spans="1:8" ht="12.75">
      <c r="A1308" s="36"/>
      <c r="B1308" s="37"/>
      <c r="C1308" s="54"/>
      <c r="D1308" s="54"/>
      <c r="E1308" s="55"/>
      <c r="F1308" s="54"/>
      <c r="G1308" s="38"/>
      <c r="H1308" s="38"/>
    </row>
    <row r="1309" spans="1:8" ht="12.75">
      <c r="A1309" s="36"/>
      <c r="B1309" s="37"/>
      <c r="C1309" s="54"/>
      <c r="D1309" s="54"/>
      <c r="E1309" s="55"/>
      <c r="F1309" s="54"/>
      <c r="G1309" s="38"/>
      <c r="H1309" s="38"/>
    </row>
    <row r="1310" spans="1:8" ht="12.75">
      <c r="A1310" s="36"/>
      <c r="B1310" s="37"/>
      <c r="C1310" s="54"/>
      <c r="D1310" s="54"/>
      <c r="E1310" s="55"/>
      <c r="F1310" s="54"/>
      <c r="G1310" s="38"/>
      <c r="H1310" s="38"/>
    </row>
    <row r="1311" spans="1:8" ht="12.75">
      <c r="A1311" s="36"/>
      <c r="B1311" s="37"/>
      <c r="C1311" s="54"/>
      <c r="D1311" s="54"/>
      <c r="E1311" s="55"/>
      <c r="F1311" s="54"/>
      <c r="G1311" s="38"/>
      <c r="H1311" s="38"/>
    </row>
    <row r="1312" spans="1:8" ht="12.75">
      <c r="A1312" s="36"/>
      <c r="B1312" s="37"/>
      <c r="C1312" s="54"/>
      <c r="D1312" s="54"/>
      <c r="E1312" s="55"/>
      <c r="F1312" s="54"/>
      <c r="G1312" s="38"/>
      <c r="H1312" s="38"/>
    </row>
    <row r="1313" spans="1:8" ht="12.75">
      <c r="A1313" s="36"/>
      <c r="B1313" s="37"/>
      <c r="C1313" s="54"/>
      <c r="D1313" s="54"/>
      <c r="E1313" s="55"/>
      <c r="F1313" s="54"/>
      <c r="G1313" s="38"/>
      <c r="H1313" s="38"/>
    </row>
    <row r="1314" spans="1:8" ht="12.75">
      <c r="A1314" s="36"/>
      <c r="B1314" s="37"/>
      <c r="C1314" s="54"/>
      <c r="D1314" s="54"/>
      <c r="E1314" s="55"/>
      <c r="F1314" s="54"/>
      <c r="G1314" s="38"/>
      <c r="H1314" s="38"/>
    </row>
    <row r="1315" spans="1:8" ht="12.75">
      <c r="A1315" s="36"/>
      <c r="B1315" s="37"/>
      <c r="C1315" s="54"/>
      <c r="D1315" s="54"/>
      <c r="E1315" s="55"/>
      <c r="F1315" s="54"/>
      <c r="G1315" s="38"/>
      <c r="H1315" s="38"/>
    </row>
    <row r="1316" spans="1:8" ht="12.75">
      <c r="A1316" s="36"/>
      <c r="B1316" s="37"/>
      <c r="C1316" s="54"/>
      <c r="D1316" s="54"/>
      <c r="E1316" s="55"/>
      <c r="F1316" s="54"/>
      <c r="G1316" s="38"/>
      <c r="H1316" s="38"/>
    </row>
    <row r="1317" spans="1:8" ht="12.75">
      <c r="A1317" s="36"/>
      <c r="B1317" s="37"/>
      <c r="C1317" s="54"/>
      <c r="D1317" s="54"/>
      <c r="E1317" s="55"/>
      <c r="F1317" s="54"/>
      <c r="G1317" s="38"/>
      <c r="H1317" s="38"/>
    </row>
    <row r="1318" spans="1:8" ht="12.75">
      <c r="A1318" s="36"/>
      <c r="B1318" s="37"/>
      <c r="C1318" s="54"/>
      <c r="D1318" s="54"/>
      <c r="E1318" s="55"/>
      <c r="F1318" s="54"/>
      <c r="G1318" s="38"/>
      <c r="H1318" s="38"/>
    </row>
    <row r="1319" spans="1:8" ht="12.75">
      <c r="A1319" s="36"/>
      <c r="B1319" s="37"/>
      <c r="C1319" s="54"/>
      <c r="D1319" s="54"/>
      <c r="E1319" s="55"/>
      <c r="F1319" s="54"/>
      <c r="G1319" s="38"/>
      <c r="H1319" s="38"/>
    </row>
    <row r="1320" spans="1:8" ht="12.75">
      <c r="A1320" s="36"/>
      <c r="B1320" s="37"/>
      <c r="C1320" s="54"/>
      <c r="D1320" s="54"/>
      <c r="E1320" s="55"/>
      <c r="F1320" s="54"/>
      <c r="G1320" s="38"/>
      <c r="H1320" s="38"/>
    </row>
    <row r="1321" spans="1:8" ht="12.75">
      <c r="A1321" s="36"/>
      <c r="B1321" s="37"/>
      <c r="C1321" s="54"/>
      <c r="D1321" s="54"/>
      <c r="E1321" s="55"/>
      <c r="F1321" s="54"/>
      <c r="G1321" s="38"/>
      <c r="H1321" s="38"/>
    </row>
    <row r="1322" spans="1:8" ht="12.75">
      <c r="A1322" s="36"/>
      <c r="B1322" s="37"/>
      <c r="C1322" s="54"/>
      <c r="D1322" s="54"/>
      <c r="E1322" s="55"/>
      <c r="F1322" s="54"/>
      <c r="G1322" s="38"/>
      <c r="H1322" s="38"/>
    </row>
    <row r="1323" spans="1:8" ht="12.75">
      <c r="A1323" s="36"/>
      <c r="B1323" s="37"/>
      <c r="C1323" s="54"/>
      <c r="D1323" s="54"/>
      <c r="E1323" s="55"/>
      <c r="F1323" s="54"/>
      <c r="G1323" s="38"/>
      <c r="H1323" s="38"/>
    </row>
    <row r="1324" spans="1:8" ht="12.75">
      <c r="A1324" s="36"/>
      <c r="B1324" s="37"/>
      <c r="C1324" s="54"/>
      <c r="D1324" s="54"/>
      <c r="E1324" s="55"/>
      <c r="F1324" s="54"/>
      <c r="G1324" s="38"/>
      <c r="H1324" s="38"/>
    </row>
    <row r="1325" spans="1:8" ht="12.75">
      <c r="A1325" s="36"/>
      <c r="B1325" s="37"/>
      <c r="C1325" s="54"/>
      <c r="D1325" s="54"/>
      <c r="E1325" s="55"/>
      <c r="F1325" s="54"/>
      <c r="G1325" s="38"/>
      <c r="H1325" s="38"/>
    </row>
    <row r="1326" spans="1:8" ht="12.75">
      <c r="A1326" s="36"/>
      <c r="B1326" s="37"/>
      <c r="C1326" s="54"/>
      <c r="D1326" s="54"/>
      <c r="E1326" s="55"/>
      <c r="F1326" s="54"/>
      <c r="G1326" s="38"/>
      <c r="H1326" s="38"/>
    </row>
    <row r="1327" spans="1:8" ht="12.75">
      <c r="A1327" s="36"/>
      <c r="B1327" s="37"/>
      <c r="C1327" s="54"/>
      <c r="D1327" s="54"/>
      <c r="E1327" s="55"/>
      <c r="F1327" s="54"/>
      <c r="G1327" s="38"/>
      <c r="H1327" s="38"/>
    </row>
    <row r="1328" spans="1:8" ht="12.75">
      <c r="A1328" s="36"/>
      <c r="B1328" s="37"/>
      <c r="C1328" s="54"/>
      <c r="D1328" s="54"/>
      <c r="E1328" s="55"/>
      <c r="F1328" s="54"/>
      <c r="G1328" s="38"/>
      <c r="H1328" s="38"/>
    </row>
    <row r="1329" spans="1:8" ht="12.75">
      <c r="A1329" s="36"/>
      <c r="B1329" s="37"/>
      <c r="C1329" s="54"/>
      <c r="D1329" s="54"/>
      <c r="E1329" s="55"/>
      <c r="F1329" s="54"/>
      <c r="G1329" s="38"/>
      <c r="H1329" s="38"/>
    </row>
    <row r="1330" spans="1:8" ht="12.75">
      <c r="A1330" s="36"/>
      <c r="B1330" s="37"/>
      <c r="C1330" s="54"/>
      <c r="D1330" s="54"/>
      <c r="E1330" s="55"/>
      <c r="F1330" s="54"/>
      <c r="G1330" s="38"/>
      <c r="H1330" s="38"/>
    </row>
    <row r="1331" spans="1:8" ht="12.75">
      <c r="A1331" s="36"/>
      <c r="B1331" s="37"/>
      <c r="C1331" s="54"/>
      <c r="D1331" s="54"/>
      <c r="E1331" s="55"/>
      <c r="F1331" s="54"/>
      <c r="G1331" s="38"/>
      <c r="H1331" s="38"/>
    </row>
    <row r="1332" spans="1:8" ht="12.75">
      <c r="A1332" s="36"/>
      <c r="B1332" s="37"/>
      <c r="C1332" s="54"/>
      <c r="D1332" s="54"/>
      <c r="E1332" s="55"/>
      <c r="F1332" s="54"/>
      <c r="G1332" s="38"/>
      <c r="H1332" s="38"/>
    </row>
    <row r="1333" spans="1:8" ht="12.75">
      <c r="A1333" s="36"/>
      <c r="B1333" s="37"/>
      <c r="C1333" s="54"/>
      <c r="D1333" s="54"/>
      <c r="E1333" s="55"/>
      <c r="F1333" s="54"/>
      <c r="G1333" s="38"/>
      <c r="H1333" s="38"/>
    </row>
    <row r="1334" spans="1:8" ht="12.75">
      <c r="A1334" s="36"/>
      <c r="B1334" s="37"/>
      <c r="C1334" s="54"/>
      <c r="D1334" s="54"/>
      <c r="E1334" s="55"/>
      <c r="F1334" s="54"/>
      <c r="G1334" s="38"/>
      <c r="H1334" s="38"/>
    </row>
    <row r="1335" spans="1:8" ht="12.75">
      <c r="A1335" s="36"/>
      <c r="B1335" s="37"/>
      <c r="C1335" s="54"/>
      <c r="D1335" s="54"/>
      <c r="E1335" s="55"/>
      <c r="F1335" s="54"/>
      <c r="G1335" s="38"/>
      <c r="H1335" s="38"/>
    </row>
    <row r="1336" spans="1:8" ht="12.75">
      <c r="A1336" s="36"/>
      <c r="B1336" s="37"/>
      <c r="C1336" s="54"/>
      <c r="D1336" s="54"/>
      <c r="E1336" s="55"/>
      <c r="F1336" s="54"/>
      <c r="G1336" s="38"/>
      <c r="H1336" s="38"/>
    </row>
    <row r="1337" spans="1:8" ht="12.75">
      <c r="A1337" s="36"/>
      <c r="B1337" s="37"/>
      <c r="C1337" s="54"/>
      <c r="D1337" s="54"/>
      <c r="E1337" s="55"/>
      <c r="F1337" s="54"/>
      <c r="G1337" s="38"/>
      <c r="H1337" s="38"/>
    </row>
    <row r="1338" spans="1:8" ht="12.75">
      <c r="A1338" s="36"/>
      <c r="B1338" s="37"/>
      <c r="C1338" s="54"/>
      <c r="D1338" s="54"/>
      <c r="E1338" s="55"/>
      <c r="F1338" s="54"/>
      <c r="G1338" s="38"/>
      <c r="H1338" s="38"/>
    </row>
    <row r="1339" spans="1:8" ht="12.75">
      <c r="A1339" s="36"/>
      <c r="B1339" s="37"/>
      <c r="C1339" s="54"/>
      <c r="D1339" s="54"/>
      <c r="E1339" s="55"/>
      <c r="F1339" s="54"/>
      <c r="G1339" s="38"/>
      <c r="H1339" s="38"/>
    </row>
    <row r="1340" spans="1:8" ht="12.75">
      <c r="A1340" s="36"/>
      <c r="B1340" s="37"/>
      <c r="C1340" s="54"/>
      <c r="D1340" s="54"/>
      <c r="E1340" s="55"/>
      <c r="F1340" s="54"/>
      <c r="G1340" s="38"/>
      <c r="H1340" s="38"/>
    </row>
    <row r="1341" spans="1:8" ht="12.75">
      <c r="A1341" s="36"/>
      <c r="B1341" s="37"/>
      <c r="C1341" s="54"/>
      <c r="D1341" s="54"/>
      <c r="E1341" s="55"/>
      <c r="F1341" s="54"/>
      <c r="G1341" s="38"/>
      <c r="H1341" s="38"/>
    </row>
    <row r="1342" spans="1:8" ht="12.75">
      <c r="A1342" s="36"/>
      <c r="B1342" s="37"/>
      <c r="C1342" s="54"/>
      <c r="D1342" s="54"/>
      <c r="E1342" s="55"/>
      <c r="F1342" s="54"/>
      <c r="G1342" s="38"/>
      <c r="H1342" s="38"/>
    </row>
    <row r="1343" spans="1:8" ht="12.75">
      <c r="A1343" s="36"/>
      <c r="B1343" s="37"/>
      <c r="C1343" s="54"/>
      <c r="D1343" s="54"/>
      <c r="E1343" s="55"/>
      <c r="F1343" s="54"/>
      <c r="G1343" s="38"/>
      <c r="H1343" s="38"/>
    </row>
    <row r="1344" spans="1:8" ht="12.75">
      <c r="A1344" s="36"/>
      <c r="B1344" s="37"/>
      <c r="C1344" s="54"/>
      <c r="D1344" s="54"/>
      <c r="E1344" s="55"/>
      <c r="F1344" s="54"/>
      <c r="G1344" s="38"/>
      <c r="H1344" s="38"/>
    </row>
    <row r="1345" spans="1:8" ht="12.75">
      <c r="A1345" s="36"/>
      <c r="B1345" s="37"/>
      <c r="C1345" s="54"/>
      <c r="D1345" s="54"/>
      <c r="E1345" s="55"/>
      <c r="F1345" s="54"/>
      <c r="G1345" s="38"/>
      <c r="H1345" s="38"/>
    </row>
    <row r="1346" spans="1:8" ht="12.75">
      <c r="A1346" s="36"/>
      <c r="B1346" s="37"/>
      <c r="C1346" s="54"/>
      <c r="D1346" s="54"/>
      <c r="E1346" s="55"/>
      <c r="F1346" s="54"/>
      <c r="G1346" s="38"/>
      <c r="H1346" s="38"/>
    </row>
    <row r="1347" spans="1:8" ht="12.75">
      <c r="A1347" s="36"/>
      <c r="B1347" s="37"/>
      <c r="C1347" s="54"/>
      <c r="D1347" s="54"/>
      <c r="E1347" s="55"/>
      <c r="F1347" s="54"/>
      <c r="G1347" s="38"/>
      <c r="H1347" s="38"/>
    </row>
    <row r="1348" spans="1:8" ht="12.75">
      <c r="A1348" s="36"/>
      <c r="B1348" s="37"/>
      <c r="C1348" s="54"/>
      <c r="D1348" s="54"/>
      <c r="E1348" s="55"/>
      <c r="F1348" s="54"/>
      <c r="G1348" s="38"/>
      <c r="H1348" s="38"/>
    </row>
    <row r="1349" spans="1:8" ht="12.75">
      <c r="A1349" s="36"/>
      <c r="B1349" s="37"/>
      <c r="C1349" s="54"/>
      <c r="D1349" s="54"/>
      <c r="E1349" s="55"/>
      <c r="F1349" s="54"/>
      <c r="G1349" s="38"/>
      <c r="H1349" s="38"/>
    </row>
    <row r="1350" spans="1:8" ht="12.75">
      <c r="A1350" s="36"/>
      <c r="B1350" s="37"/>
      <c r="C1350" s="54"/>
      <c r="D1350" s="54"/>
      <c r="E1350" s="55"/>
      <c r="F1350" s="54"/>
      <c r="G1350" s="38"/>
      <c r="H1350" s="38"/>
    </row>
    <row r="1351" spans="1:8" ht="12.75">
      <c r="A1351" s="36"/>
      <c r="B1351" s="37"/>
      <c r="C1351" s="54"/>
      <c r="D1351" s="54"/>
      <c r="E1351" s="55"/>
      <c r="F1351" s="54"/>
      <c r="G1351" s="38"/>
      <c r="H1351" s="38"/>
    </row>
    <row r="1352" spans="1:8" ht="12.75">
      <c r="A1352" s="36"/>
      <c r="B1352" s="37"/>
      <c r="C1352" s="54"/>
      <c r="D1352" s="54"/>
      <c r="E1352" s="55"/>
      <c r="F1352" s="54"/>
      <c r="G1352" s="38"/>
      <c r="H1352" s="38"/>
    </row>
    <row r="1353" spans="1:8" ht="12.75">
      <c r="A1353" s="36"/>
      <c r="B1353" s="37"/>
      <c r="C1353" s="54"/>
      <c r="D1353" s="54"/>
      <c r="E1353" s="55"/>
      <c r="F1353" s="54"/>
      <c r="G1353" s="38"/>
      <c r="H1353" s="38"/>
    </row>
    <row r="1354" spans="1:8" ht="12.75">
      <c r="A1354" s="36"/>
      <c r="B1354" s="37"/>
      <c r="C1354" s="54"/>
      <c r="D1354" s="54"/>
      <c r="E1354" s="55"/>
      <c r="F1354" s="54"/>
      <c r="G1354" s="38"/>
      <c r="H1354" s="38"/>
    </row>
    <row r="1355" spans="1:8" ht="12.75">
      <c r="A1355" s="36"/>
      <c r="B1355" s="37"/>
      <c r="C1355" s="54"/>
      <c r="D1355" s="54"/>
      <c r="E1355" s="55"/>
      <c r="F1355" s="54"/>
      <c r="G1355" s="38"/>
      <c r="H1355" s="38"/>
    </row>
    <row r="1356" spans="1:8" ht="12.75">
      <c r="A1356" s="36"/>
      <c r="B1356" s="37"/>
      <c r="C1356" s="54"/>
      <c r="D1356" s="54"/>
      <c r="E1356" s="55"/>
      <c r="F1356" s="54"/>
      <c r="G1356" s="38"/>
      <c r="H1356" s="38"/>
    </row>
    <row r="1357" spans="1:8" ht="12.75">
      <c r="A1357" s="36"/>
      <c r="B1357" s="37"/>
      <c r="C1357" s="54"/>
      <c r="D1357" s="54"/>
      <c r="E1357" s="55"/>
      <c r="F1357" s="54"/>
      <c r="G1357" s="38"/>
      <c r="H1357" s="38"/>
    </row>
    <row r="1358" spans="1:8" ht="12.75">
      <c r="A1358" s="36"/>
      <c r="B1358" s="37"/>
      <c r="C1358" s="54"/>
      <c r="D1358" s="54"/>
      <c r="E1358" s="55"/>
      <c r="F1358" s="54"/>
      <c r="G1358" s="38"/>
      <c r="H1358" s="38"/>
    </row>
    <row r="1359" spans="1:8" ht="12.75">
      <c r="A1359" s="36"/>
      <c r="B1359" s="37"/>
      <c r="C1359" s="54"/>
      <c r="D1359" s="54"/>
      <c r="E1359" s="55"/>
      <c r="F1359" s="54"/>
      <c r="G1359" s="38"/>
      <c r="H1359" s="38"/>
    </row>
    <row r="1360" spans="1:8" ht="12.75">
      <c r="A1360" s="36"/>
      <c r="B1360" s="37"/>
      <c r="C1360" s="54"/>
      <c r="D1360" s="54"/>
      <c r="E1360" s="55"/>
      <c r="F1360" s="54"/>
      <c r="G1360" s="38"/>
      <c r="H1360" s="38"/>
    </row>
    <row r="1361" spans="1:8" ht="12.75">
      <c r="A1361" s="36"/>
      <c r="B1361" s="37"/>
      <c r="C1361" s="54"/>
      <c r="D1361" s="54"/>
      <c r="E1361" s="55"/>
      <c r="F1361" s="54"/>
      <c r="G1361" s="38"/>
      <c r="H1361" s="38"/>
    </row>
    <row r="1362" spans="1:8" ht="12.75">
      <c r="A1362" s="36"/>
      <c r="B1362" s="37"/>
      <c r="C1362" s="54"/>
      <c r="D1362" s="54"/>
      <c r="E1362" s="55"/>
      <c r="F1362" s="54"/>
      <c r="G1362" s="38"/>
      <c r="H1362" s="38"/>
    </row>
    <row r="1363" spans="1:8" ht="12.75">
      <c r="A1363" s="36"/>
      <c r="B1363" s="37"/>
      <c r="C1363" s="54"/>
      <c r="D1363" s="54"/>
      <c r="E1363" s="55"/>
      <c r="F1363" s="54"/>
      <c r="G1363" s="38"/>
      <c r="H1363" s="38"/>
    </row>
    <row r="1364" spans="1:8" ht="12.75">
      <c r="A1364" s="36"/>
      <c r="B1364" s="37"/>
      <c r="C1364" s="54"/>
      <c r="D1364" s="54"/>
      <c r="E1364" s="55"/>
      <c r="F1364" s="54"/>
      <c r="G1364" s="38"/>
      <c r="H1364" s="38"/>
    </row>
    <row r="1365" spans="1:8" ht="12.75">
      <c r="A1365" s="36"/>
      <c r="B1365" s="37"/>
      <c r="C1365" s="54"/>
      <c r="D1365" s="54"/>
      <c r="E1365" s="55"/>
      <c r="F1365" s="54"/>
      <c r="G1365" s="38"/>
      <c r="H1365" s="38"/>
    </row>
    <row r="1366" spans="1:8" ht="12.75">
      <c r="A1366" s="36"/>
      <c r="B1366" s="37"/>
      <c r="C1366" s="54"/>
      <c r="D1366" s="54"/>
      <c r="E1366" s="55"/>
      <c r="F1366" s="54"/>
      <c r="G1366" s="38"/>
      <c r="H1366" s="38"/>
    </row>
    <row r="1367" spans="1:8" ht="12.75">
      <c r="A1367" s="36"/>
      <c r="B1367" s="37"/>
      <c r="C1367" s="54"/>
      <c r="D1367" s="54"/>
      <c r="E1367" s="55"/>
      <c r="F1367" s="54"/>
      <c r="G1367" s="38"/>
      <c r="H1367" s="38"/>
    </row>
    <row r="1368" spans="1:8" ht="12.75">
      <c r="A1368" s="36"/>
      <c r="B1368" s="37"/>
      <c r="C1368" s="54"/>
      <c r="D1368" s="54"/>
      <c r="E1368" s="55"/>
      <c r="F1368" s="54"/>
      <c r="G1368" s="38"/>
      <c r="H1368" s="38"/>
    </row>
    <row r="1369" spans="1:8" ht="12.75">
      <c r="A1369" s="36"/>
      <c r="B1369" s="37"/>
      <c r="C1369" s="54"/>
      <c r="D1369" s="54"/>
      <c r="E1369" s="55"/>
      <c r="F1369" s="54"/>
      <c r="G1369" s="38"/>
      <c r="H1369" s="38"/>
    </row>
    <row r="1370" spans="1:8" ht="12.75">
      <c r="A1370" s="36"/>
      <c r="B1370" s="37"/>
      <c r="C1370" s="54"/>
      <c r="D1370" s="54"/>
      <c r="E1370" s="55"/>
      <c r="F1370" s="54"/>
      <c r="G1370" s="38"/>
      <c r="H1370" s="38"/>
    </row>
    <row r="1371" spans="1:8" ht="12.75">
      <c r="A1371" s="36"/>
      <c r="B1371" s="37"/>
      <c r="C1371" s="54"/>
      <c r="D1371" s="54"/>
      <c r="E1371" s="55"/>
      <c r="F1371" s="54"/>
      <c r="G1371" s="38"/>
      <c r="H1371" s="38"/>
    </row>
    <row r="1372" spans="1:8" ht="12.75">
      <c r="A1372" s="36"/>
      <c r="B1372" s="37"/>
      <c r="C1372" s="54"/>
      <c r="D1372" s="54"/>
      <c r="E1372" s="55"/>
      <c r="F1372" s="54"/>
      <c r="G1372" s="38"/>
      <c r="H1372" s="38"/>
    </row>
    <row r="1373" spans="1:8" ht="12.75">
      <c r="A1373" s="36"/>
      <c r="B1373" s="37"/>
      <c r="C1373" s="54"/>
      <c r="D1373" s="54"/>
      <c r="E1373" s="55"/>
      <c r="F1373" s="54"/>
      <c r="G1373" s="38"/>
      <c r="H1373" s="38"/>
    </row>
    <row r="1374" spans="1:8" ht="12.75">
      <c r="A1374" s="36"/>
      <c r="B1374" s="37"/>
      <c r="C1374" s="54"/>
      <c r="D1374" s="54"/>
      <c r="E1374" s="55"/>
      <c r="F1374" s="54"/>
      <c r="G1374" s="38"/>
      <c r="H1374" s="38"/>
    </row>
    <row r="1375" spans="1:8" ht="12.75">
      <c r="A1375" s="36"/>
      <c r="B1375" s="37"/>
      <c r="C1375" s="54"/>
      <c r="D1375" s="54"/>
      <c r="E1375" s="55"/>
      <c r="F1375" s="54"/>
      <c r="G1375" s="38"/>
      <c r="H1375" s="38"/>
    </row>
    <row r="1376" spans="1:8" ht="12.75">
      <c r="A1376" s="36"/>
      <c r="B1376" s="37"/>
      <c r="C1376" s="54"/>
      <c r="D1376" s="54"/>
      <c r="E1376" s="55"/>
      <c r="F1376" s="54"/>
      <c r="G1376" s="38"/>
      <c r="H1376" s="38"/>
    </row>
    <row r="1377" spans="1:8" ht="12.75">
      <c r="A1377" s="36"/>
      <c r="B1377" s="37"/>
      <c r="C1377" s="54"/>
      <c r="D1377" s="54"/>
      <c r="E1377" s="55"/>
      <c r="F1377" s="54"/>
      <c r="G1377" s="38"/>
      <c r="H1377" s="38"/>
    </row>
    <row r="1378" spans="1:8" ht="12.75">
      <c r="A1378" s="36"/>
      <c r="B1378" s="37"/>
      <c r="C1378" s="54"/>
      <c r="D1378" s="54"/>
      <c r="E1378" s="55"/>
      <c r="F1378" s="54"/>
      <c r="G1378" s="38"/>
      <c r="H1378" s="38"/>
    </row>
    <row r="1379" spans="1:8" ht="12.75">
      <c r="A1379" s="36"/>
      <c r="B1379" s="37"/>
      <c r="C1379" s="54"/>
      <c r="D1379" s="54"/>
      <c r="E1379" s="55"/>
      <c r="F1379" s="54"/>
      <c r="G1379" s="38"/>
      <c r="H1379" s="38"/>
    </row>
    <row r="1380" spans="1:8" ht="12.75">
      <c r="A1380" s="36"/>
      <c r="B1380" s="37"/>
      <c r="C1380" s="54"/>
      <c r="D1380" s="54"/>
      <c r="E1380" s="55"/>
      <c r="F1380" s="54"/>
      <c r="G1380" s="38"/>
      <c r="H1380" s="38"/>
    </row>
    <row r="1381" spans="1:8" ht="12.75">
      <c r="A1381" s="36"/>
      <c r="B1381" s="37"/>
      <c r="C1381" s="54"/>
      <c r="D1381" s="54"/>
      <c r="E1381" s="55"/>
      <c r="F1381" s="54"/>
      <c r="G1381" s="38"/>
      <c r="H1381" s="38"/>
    </row>
    <row r="1382" spans="1:8" ht="12.75">
      <c r="A1382" s="36"/>
      <c r="B1382" s="37"/>
      <c r="C1382" s="54"/>
      <c r="D1382" s="54"/>
      <c r="E1382" s="55"/>
      <c r="F1382" s="54"/>
      <c r="G1382" s="38"/>
      <c r="H1382" s="38"/>
    </row>
    <row r="1383" spans="1:8" ht="12.75">
      <c r="A1383" s="36"/>
      <c r="B1383" s="37"/>
      <c r="C1383" s="54"/>
      <c r="D1383" s="54"/>
      <c r="E1383" s="55"/>
      <c r="F1383" s="54"/>
      <c r="G1383" s="38"/>
      <c r="H1383" s="38"/>
    </row>
    <row r="1384" spans="1:8" ht="12.75">
      <c r="A1384" s="36"/>
      <c r="B1384" s="37"/>
      <c r="C1384" s="54"/>
      <c r="D1384" s="54"/>
      <c r="E1384" s="55"/>
      <c r="F1384" s="54"/>
      <c r="G1384" s="38"/>
      <c r="H1384" s="38"/>
    </row>
    <row r="1385" spans="1:8" ht="12.75">
      <c r="A1385" s="36"/>
      <c r="B1385" s="37"/>
      <c r="C1385" s="54"/>
      <c r="D1385" s="54"/>
      <c r="E1385" s="55"/>
      <c r="F1385" s="54"/>
      <c r="G1385" s="38"/>
      <c r="H1385" s="38"/>
    </row>
    <row r="1386" spans="1:8" ht="12.75">
      <c r="A1386" s="36"/>
      <c r="B1386" s="37"/>
      <c r="C1386" s="54"/>
      <c r="D1386" s="54"/>
      <c r="E1386" s="55"/>
      <c r="F1386" s="54"/>
      <c r="G1386" s="38"/>
      <c r="H1386" s="38"/>
    </row>
    <row r="1387" spans="1:8" ht="12.75">
      <c r="A1387" s="36"/>
      <c r="B1387" s="37"/>
      <c r="C1387" s="54"/>
      <c r="D1387" s="54"/>
      <c r="E1387" s="55"/>
      <c r="F1387" s="54"/>
      <c r="G1387" s="38"/>
      <c r="H1387" s="38"/>
    </row>
    <row r="1388" spans="1:8" ht="12.75">
      <c r="A1388" s="36"/>
      <c r="B1388" s="37"/>
      <c r="C1388" s="54"/>
      <c r="D1388" s="54"/>
      <c r="E1388" s="55"/>
      <c r="F1388" s="54"/>
      <c r="G1388" s="38"/>
      <c r="H1388" s="38"/>
    </row>
    <row r="1389" spans="1:8" ht="12.75">
      <c r="A1389" s="36"/>
      <c r="B1389" s="37"/>
      <c r="C1389" s="54"/>
      <c r="D1389" s="54"/>
      <c r="E1389" s="55"/>
      <c r="F1389" s="54"/>
      <c r="G1389" s="38"/>
      <c r="H1389" s="38"/>
    </row>
    <row r="1390" spans="1:8" ht="12.75">
      <c r="A1390" s="36"/>
      <c r="B1390" s="37"/>
      <c r="C1390" s="54"/>
      <c r="D1390" s="54"/>
      <c r="E1390" s="55"/>
      <c r="F1390" s="54"/>
      <c r="G1390" s="38"/>
      <c r="H1390" s="38"/>
    </row>
    <row r="1391" spans="1:8" ht="12.75">
      <c r="A1391" s="36"/>
      <c r="B1391" s="37"/>
      <c r="C1391" s="54"/>
      <c r="D1391" s="54"/>
      <c r="E1391" s="55"/>
      <c r="F1391" s="54"/>
      <c r="G1391" s="38"/>
      <c r="H1391" s="38"/>
    </row>
    <row r="1392" spans="1:8" ht="12.75">
      <c r="A1392" s="36"/>
      <c r="B1392" s="37"/>
      <c r="C1392" s="54"/>
      <c r="D1392" s="54"/>
      <c r="E1392" s="55"/>
      <c r="F1392" s="54"/>
      <c r="G1392" s="38"/>
      <c r="H1392" s="38"/>
    </row>
    <row r="1393" spans="1:8" ht="12.75">
      <c r="A1393" s="36"/>
      <c r="B1393" s="37"/>
      <c r="C1393" s="54"/>
      <c r="D1393" s="54"/>
      <c r="E1393" s="55"/>
      <c r="F1393" s="54"/>
      <c r="G1393" s="38"/>
      <c r="H1393" s="38"/>
    </row>
    <row r="1394" spans="1:8" ht="12.75">
      <c r="A1394" s="36"/>
      <c r="B1394" s="37"/>
      <c r="C1394" s="54"/>
      <c r="D1394" s="54"/>
      <c r="E1394" s="55"/>
      <c r="F1394" s="54"/>
      <c r="G1394" s="38"/>
      <c r="H1394" s="38"/>
    </row>
    <row r="1395" spans="1:8" ht="12.75">
      <c r="A1395" s="36"/>
      <c r="B1395" s="37"/>
      <c r="C1395" s="54"/>
      <c r="D1395" s="54"/>
      <c r="E1395" s="55"/>
      <c r="F1395" s="54"/>
      <c r="G1395" s="38"/>
      <c r="H1395" s="38"/>
    </row>
    <row r="1396" spans="1:8" ht="12.75">
      <c r="A1396" s="36"/>
      <c r="B1396" s="37"/>
      <c r="C1396" s="54"/>
      <c r="D1396" s="54"/>
      <c r="E1396" s="55"/>
      <c r="F1396" s="54"/>
      <c r="G1396" s="38"/>
      <c r="H1396" s="38"/>
    </row>
    <row r="1397" spans="1:8" ht="12.75">
      <c r="A1397" s="36"/>
      <c r="B1397" s="37"/>
      <c r="C1397" s="54"/>
      <c r="D1397" s="54"/>
      <c r="E1397" s="55"/>
      <c r="F1397" s="54"/>
      <c r="G1397" s="38"/>
      <c r="H1397" s="38"/>
    </row>
    <row r="1398" spans="1:8" ht="12.75">
      <c r="A1398" s="36"/>
      <c r="B1398" s="37"/>
      <c r="C1398" s="54"/>
      <c r="D1398" s="54"/>
      <c r="E1398" s="55"/>
      <c r="F1398" s="54"/>
      <c r="G1398" s="38"/>
      <c r="H1398" s="38"/>
    </row>
    <row r="1399" spans="1:8" ht="12.75">
      <c r="A1399" s="36"/>
      <c r="B1399" s="37"/>
      <c r="C1399" s="54"/>
      <c r="D1399" s="54"/>
      <c r="E1399" s="55"/>
      <c r="F1399" s="54"/>
      <c r="G1399" s="38"/>
      <c r="H1399" s="38"/>
    </row>
    <row r="1400" spans="1:8" ht="12.75">
      <c r="A1400" s="36"/>
      <c r="B1400" s="37"/>
      <c r="C1400" s="54"/>
      <c r="D1400" s="54"/>
      <c r="E1400" s="55"/>
      <c r="F1400" s="54"/>
      <c r="G1400" s="38"/>
      <c r="H1400" s="38"/>
    </row>
    <row r="1401" spans="1:8" ht="12.75">
      <c r="A1401" s="36"/>
      <c r="B1401" s="37"/>
      <c r="C1401" s="54"/>
      <c r="D1401" s="54"/>
      <c r="E1401" s="55"/>
      <c r="F1401" s="54"/>
      <c r="G1401" s="38"/>
      <c r="H1401" s="38"/>
    </row>
    <row r="1402" spans="1:8" ht="12.75">
      <c r="A1402" s="36"/>
      <c r="B1402" s="37"/>
      <c r="C1402" s="54"/>
      <c r="D1402" s="54"/>
      <c r="E1402" s="55"/>
      <c r="F1402" s="54"/>
      <c r="G1402" s="38"/>
      <c r="H1402" s="38"/>
    </row>
    <row r="1403" spans="1:8" ht="12.75">
      <c r="A1403" s="36"/>
      <c r="B1403" s="37"/>
      <c r="C1403" s="54"/>
      <c r="D1403" s="54"/>
      <c r="E1403" s="55"/>
      <c r="F1403" s="54"/>
      <c r="G1403" s="38"/>
      <c r="H1403" s="38"/>
    </row>
    <row r="1404" spans="1:8" ht="12.75">
      <c r="A1404" s="36"/>
      <c r="B1404" s="37"/>
      <c r="C1404" s="54"/>
      <c r="D1404" s="54"/>
      <c r="E1404" s="55"/>
      <c r="F1404" s="54"/>
      <c r="G1404" s="38"/>
      <c r="H1404" s="38"/>
    </row>
    <row r="1405" spans="1:8" ht="12.75">
      <c r="A1405" s="36"/>
      <c r="B1405" s="37"/>
      <c r="C1405" s="54"/>
      <c r="D1405" s="54"/>
      <c r="E1405" s="55"/>
      <c r="F1405" s="54"/>
      <c r="G1405" s="38"/>
      <c r="H1405" s="38"/>
    </row>
    <row r="1406" spans="1:8" ht="12.75">
      <c r="A1406" s="36"/>
      <c r="B1406" s="37"/>
      <c r="C1406" s="54"/>
      <c r="D1406" s="54"/>
      <c r="E1406" s="55"/>
      <c r="F1406" s="54"/>
      <c r="G1406" s="38"/>
      <c r="H1406" s="38"/>
    </row>
    <row r="1407" spans="1:8" ht="12.75">
      <c r="A1407" s="36"/>
      <c r="B1407" s="37"/>
      <c r="C1407" s="54"/>
      <c r="D1407" s="54"/>
      <c r="E1407" s="55"/>
      <c r="F1407" s="54"/>
      <c r="G1407" s="38"/>
      <c r="H1407" s="38"/>
    </row>
    <row r="1408" spans="1:8" ht="12.75">
      <c r="A1408" s="36"/>
      <c r="B1408" s="37"/>
      <c r="C1408" s="54"/>
      <c r="D1408" s="54"/>
      <c r="E1408" s="55"/>
      <c r="F1408" s="54"/>
      <c r="G1408" s="38"/>
      <c r="H1408" s="38"/>
    </row>
    <row r="1409" spans="1:8" ht="12.75">
      <c r="A1409" s="36"/>
      <c r="B1409" s="37"/>
      <c r="C1409" s="54"/>
      <c r="D1409" s="54"/>
      <c r="E1409" s="55"/>
      <c r="F1409" s="54"/>
      <c r="G1409" s="38"/>
      <c r="H1409" s="38"/>
    </row>
    <row r="1410" spans="1:8" ht="12.75">
      <c r="A1410" s="36"/>
      <c r="B1410" s="37"/>
      <c r="C1410" s="54"/>
      <c r="D1410" s="54"/>
      <c r="E1410" s="55"/>
      <c r="F1410" s="54"/>
      <c r="G1410" s="38"/>
      <c r="H1410" s="38"/>
    </row>
    <row r="1411" spans="1:8" ht="12.75">
      <c r="A1411" s="36"/>
      <c r="B1411" s="37"/>
      <c r="C1411" s="54"/>
      <c r="D1411" s="54"/>
      <c r="E1411" s="55"/>
      <c r="F1411" s="54"/>
      <c r="G1411" s="38"/>
      <c r="H1411" s="38"/>
    </row>
    <row r="1412" spans="1:8" ht="12.75">
      <c r="A1412" s="36"/>
      <c r="B1412" s="37"/>
      <c r="C1412" s="54"/>
      <c r="D1412" s="54"/>
      <c r="E1412" s="55"/>
      <c r="F1412" s="54"/>
      <c r="G1412" s="38"/>
      <c r="H1412" s="38"/>
    </row>
    <row r="1413" spans="1:8" ht="12.75">
      <c r="A1413" s="36"/>
      <c r="B1413" s="37"/>
      <c r="C1413" s="54"/>
      <c r="D1413" s="54"/>
      <c r="E1413" s="55"/>
      <c r="F1413" s="54"/>
      <c r="G1413" s="38"/>
      <c r="H1413" s="38"/>
    </row>
    <row r="1414" spans="1:8" ht="12.75">
      <c r="A1414" s="36"/>
      <c r="B1414" s="37"/>
      <c r="C1414" s="54"/>
      <c r="D1414" s="54"/>
      <c r="E1414" s="55"/>
      <c r="F1414" s="54"/>
      <c r="G1414" s="38"/>
      <c r="H1414" s="38"/>
    </row>
    <row r="1415" spans="1:8" ht="12.75">
      <c r="A1415" s="36"/>
      <c r="B1415" s="37"/>
      <c r="C1415" s="54"/>
      <c r="D1415" s="54"/>
      <c r="E1415" s="55"/>
      <c r="F1415" s="54"/>
      <c r="G1415" s="38"/>
      <c r="H1415" s="38"/>
    </row>
    <row r="1416" spans="1:8" ht="12.75">
      <c r="A1416" s="36"/>
      <c r="B1416" s="37"/>
      <c r="C1416" s="54"/>
      <c r="D1416" s="54"/>
      <c r="E1416" s="55"/>
      <c r="F1416" s="54"/>
      <c r="G1416" s="38"/>
      <c r="H1416" s="38"/>
    </row>
    <row r="1417" spans="1:8" ht="12.75">
      <c r="A1417" s="36"/>
      <c r="B1417" s="37"/>
      <c r="C1417" s="54"/>
      <c r="D1417" s="54"/>
      <c r="E1417" s="55"/>
      <c r="F1417" s="54"/>
      <c r="G1417" s="38"/>
      <c r="H1417" s="38"/>
    </row>
    <row r="1418" spans="1:8" ht="12.75">
      <c r="A1418" s="36"/>
      <c r="B1418" s="37"/>
      <c r="C1418" s="54"/>
      <c r="D1418" s="54"/>
      <c r="E1418" s="55"/>
      <c r="F1418" s="54"/>
      <c r="G1418" s="38"/>
      <c r="H1418" s="38"/>
    </row>
    <row r="1419" spans="1:8" ht="12.75">
      <c r="A1419" s="36"/>
      <c r="B1419" s="37"/>
      <c r="C1419" s="54"/>
      <c r="D1419" s="54"/>
      <c r="E1419" s="55"/>
      <c r="F1419" s="54"/>
      <c r="G1419" s="38"/>
      <c r="H1419" s="38"/>
    </row>
    <row r="1420" spans="1:8" ht="12.75">
      <c r="A1420" s="36"/>
      <c r="B1420" s="37"/>
      <c r="C1420" s="54"/>
      <c r="D1420" s="54"/>
      <c r="E1420" s="55"/>
      <c r="F1420" s="54"/>
      <c r="G1420" s="38"/>
      <c r="H1420" s="38"/>
    </row>
    <row r="1421" spans="1:8" ht="12.75">
      <c r="A1421" s="36"/>
      <c r="B1421" s="37"/>
      <c r="C1421" s="54"/>
      <c r="D1421" s="54"/>
      <c r="E1421" s="55"/>
      <c r="F1421" s="54"/>
      <c r="G1421" s="38"/>
      <c r="H1421" s="38"/>
    </row>
    <row r="1422" spans="1:8" ht="12.75">
      <c r="A1422" s="36"/>
      <c r="B1422" s="37"/>
      <c r="C1422" s="54"/>
      <c r="D1422" s="54"/>
      <c r="E1422" s="55"/>
      <c r="F1422" s="54"/>
      <c r="G1422" s="38"/>
      <c r="H1422" s="38"/>
    </row>
    <row r="1423" spans="1:8" ht="12.75">
      <c r="A1423" s="36"/>
      <c r="B1423" s="37"/>
      <c r="C1423" s="54"/>
      <c r="D1423" s="54"/>
      <c r="E1423" s="55"/>
      <c r="F1423" s="54"/>
      <c r="G1423" s="38"/>
      <c r="H1423" s="38"/>
    </row>
    <row r="1424" spans="1:8" ht="12.75">
      <c r="A1424" s="36"/>
      <c r="B1424" s="37"/>
      <c r="C1424" s="54"/>
      <c r="D1424" s="54"/>
      <c r="E1424" s="55"/>
      <c r="F1424" s="54"/>
      <c r="G1424" s="38"/>
      <c r="H1424" s="38"/>
    </row>
    <row r="1425" spans="1:8" ht="12.75">
      <c r="A1425" s="36"/>
      <c r="B1425" s="37"/>
      <c r="C1425" s="54"/>
      <c r="D1425" s="54"/>
      <c r="E1425" s="55"/>
      <c r="F1425" s="54"/>
      <c r="G1425" s="38"/>
      <c r="H1425" s="38"/>
    </row>
    <row r="1426" spans="1:8" ht="12.75">
      <c r="A1426" s="36"/>
      <c r="B1426" s="37"/>
      <c r="C1426" s="54"/>
      <c r="D1426" s="54"/>
      <c r="E1426" s="55"/>
      <c r="F1426" s="54"/>
      <c r="G1426" s="38"/>
      <c r="H1426" s="38"/>
    </row>
    <row r="1427" spans="1:8" ht="12.75">
      <c r="A1427" s="36"/>
      <c r="B1427" s="37"/>
      <c r="C1427" s="54"/>
      <c r="D1427" s="54"/>
      <c r="E1427" s="55"/>
      <c r="F1427" s="54"/>
      <c r="G1427" s="38"/>
      <c r="H1427" s="38"/>
    </row>
    <row r="1428" spans="1:8" ht="12.75">
      <c r="A1428" s="36"/>
      <c r="B1428" s="37"/>
      <c r="C1428" s="54"/>
      <c r="D1428" s="54"/>
      <c r="E1428" s="55"/>
      <c r="F1428" s="54"/>
      <c r="G1428" s="38"/>
      <c r="H1428" s="38"/>
    </row>
    <row r="1429" spans="1:8" ht="12.75">
      <c r="A1429" s="36"/>
      <c r="B1429" s="37"/>
      <c r="C1429" s="54"/>
      <c r="D1429" s="54"/>
      <c r="E1429" s="55"/>
      <c r="F1429" s="54"/>
      <c r="G1429" s="38"/>
      <c r="H1429" s="38"/>
    </row>
    <row r="1430" spans="1:8" ht="12.75">
      <c r="A1430" s="36"/>
      <c r="B1430" s="37"/>
      <c r="C1430" s="54"/>
      <c r="D1430" s="54"/>
      <c r="E1430" s="55"/>
      <c r="F1430" s="54"/>
      <c r="G1430" s="38"/>
      <c r="H1430" s="38"/>
    </row>
    <row r="1431" spans="1:8" ht="12.75">
      <c r="A1431" s="36"/>
      <c r="B1431" s="37"/>
      <c r="C1431" s="54"/>
      <c r="D1431" s="54"/>
      <c r="E1431" s="55"/>
      <c r="F1431" s="54"/>
      <c r="G1431" s="38"/>
      <c r="H1431" s="38"/>
    </row>
    <row r="1432" spans="1:8" ht="12.75">
      <c r="A1432" s="36"/>
      <c r="B1432" s="37"/>
      <c r="C1432" s="54"/>
      <c r="D1432" s="54"/>
      <c r="E1432" s="55"/>
      <c r="F1432" s="54"/>
      <c r="G1432" s="38"/>
      <c r="H1432" s="38"/>
    </row>
    <row r="1433" spans="1:8" ht="12.75">
      <c r="A1433" s="36"/>
      <c r="B1433" s="37"/>
      <c r="C1433" s="54"/>
      <c r="D1433" s="54"/>
      <c r="E1433" s="55"/>
      <c r="F1433" s="54"/>
      <c r="G1433" s="38"/>
      <c r="H1433" s="38"/>
    </row>
    <row r="1434" spans="1:8" ht="12.75">
      <c r="A1434" s="36"/>
      <c r="B1434" s="37"/>
      <c r="C1434" s="54"/>
      <c r="D1434" s="54"/>
      <c r="E1434" s="55"/>
      <c r="F1434" s="54"/>
      <c r="G1434" s="38"/>
      <c r="H1434" s="38"/>
    </row>
    <row r="1435" spans="1:8" ht="12.75">
      <c r="A1435" s="36"/>
      <c r="B1435" s="37"/>
      <c r="C1435" s="54"/>
      <c r="D1435" s="54"/>
      <c r="E1435" s="55"/>
      <c r="F1435" s="54"/>
      <c r="G1435" s="38"/>
      <c r="H1435" s="38"/>
    </row>
    <row r="1436" spans="1:8" ht="12.75">
      <c r="A1436" s="36"/>
      <c r="B1436" s="37"/>
      <c r="C1436" s="54"/>
      <c r="D1436" s="54"/>
      <c r="E1436" s="55"/>
      <c r="F1436" s="54"/>
      <c r="G1436" s="38"/>
      <c r="H1436" s="38"/>
    </row>
    <row r="1437" spans="1:8" ht="12.75">
      <c r="A1437" s="36"/>
      <c r="B1437" s="37"/>
      <c r="C1437" s="54"/>
      <c r="D1437" s="54"/>
      <c r="E1437" s="55"/>
      <c r="F1437" s="54"/>
      <c r="G1437" s="38"/>
      <c r="H1437" s="38"/>
    </row>
    <row r="1438" spans="1:8" ht="12.75">
      <c r="A1438" s="36"/>
      <c r="B1438" s="37"/>
      <c r="C1438" s="54"/>
      <c r="D1438" s="54"/>
      <c r="E1438" s="55"/>
      <c r="F1438" s="54"/>
      <c r="G1438" s="38"/>
      <c r="H1438" s="38"/>
    </row>
    <row r="1439" spans="1:8" ht="12.75">
      <c r="A1439" s="36"/>
      <c r="B1439" s="37"/>
      <c r="C1439" s="54"/>
      <c r="D1439" s="54"/>
      <c r="E1439" s="55"/>
      <c r="F1439" s="54"/>
      <c r="G1439" s="38"/>
      <c r="H1439" s="38"/>
    </row>
    <row r="1440" spans="1:8" ht="12.75">
      <c r="A1440" s="36"/>
      <c r="B1440" s="37"/>
      <c r="C1440" s="54"/>
      <c r="D1440" s="54"/>
      <c r="E1440" s="55"/>
      <c r="F1440" s="54"/>
      <c r="G1440" s="38"/>
      <c r="H1440" s="38"/>
    </row>
    <row r="1441" spans="1:8" ht="12.75">
      <c r="A1441" s="36"/>
      <c r="B1441" s="37"/>
      <c r="C1441" s="54"/>
      <c r="D1441" s="54"/>
      <c r="E1441" s="55"/>
      <c r="F1441" s="54"/>
      <c r="G1441" s="38"/>
      <c r="H1441" s="38"/>
    </row>
    <row r="1442" spans="1:8" ht="12.75">
      <c r="A1442" s="36"/>
      <c r="B1442" s="37"/>
      <c r="C1442" s="54"/>
      <c r="D1442" s="54"/>
      <c r="E1442" s="55"/>
      <c r="F1442" s="54"/>
      <c r="G1442" s="38"/>
      <c r="H1442" s="38"/>
    </row>
    <row r="1443" spans="1:8" ht="12.75">
      <c r="A1443" s="36"/>
      <c r="B1443" s="37"/>
      <c r="C1443" s="54"/>
      <c r="D1443" s="54"/>
      <c r="E1443" s="55"/>
      <c r="F1443" s="54"/>
      <c r="G1443" s="38"/>
      <c r="H1443" s="38"/>
    </row>
    <row r="1444" spans="1:8" ht="12.75">
      <c r="A1444" s="36"/>
      <c r="B1444" s="37"/>
      <c r="C1444" s="54"/>
      <c r="D1444" s="54"/>
      <c r="E1444" s="55"/>
      <c r="F1444" s="54"/>
      <c r="G1444" s="38"/>
      <c r="H1444" s="38"/>
    </row>
    <row r="1445" spans="1:8" ht="12.75">
      <c r="A1445" s="36"/>
      <c r="B1445" s="37"/>
      <c r="C1445" s="54"/>
      <c r="D1445" s="54"/>
      <c r="E1445" s="55"/>
      <c r="F1445" s="54"/>
      <c r="G1445" s="38"/>
      <c r="H1445" s="38"/>
    </row>
    <row r="1446" spans="1:8" ht="12.75">
      <c r="A1446" s="36"/>
      <c r="B1446" s="37"/>
      <c r="C1446" s="54"/>
      <c r="D1446" s="54"/>
      <c r="E1446" s="55"/>
      <c r="F1446" s="54"/>
      <c r="G1446" s="38"/>
      <c r="H1446" s="38"/>
    </row>
    <row r="1447" spans="1:8" ht="12.75">
      <c r="A1447" s="36"/>
      <c r="B1447" s="37"/>
      <c r="C1447" s="54"/>
      <c r="D1447" s="54"/>
      <c r="E1447" s="55"/>
      <c r="F1447" s="54"/>
      <c r="G1447" s="38"/>
      <c r="H1447" s="38"/>
    </row>
    <row r="1448" spans="1:8" ht="12.75">
      <c r="A1448" s="36"/>
      <c r="B1448" s="37"/>
      <c r="C1448" s="54"/>
      <c r="D1448" s="54"/>
      <c r="E1448" s="55"/>
      <c r="F1448" s="54"/>
      <c r="G1448" s="38"/>
      <c r="H1448" s="38"/>
    </row>
    <row r="1449" spans="1:8" ht="12.75">
      <c r="A1449" s="36"/>
      <c r="B1449" s="37"/>
      <c r="C1449" s="54"/>
      <c r="D1449" s="54"/>
      <c r="E1449" s="55"/>
      <c r="F1449" s="54"/>
      <c r="G1449" s="38"/>
      <c r="H1449" s="38"/>
    </row>
    <row r="1450" spans="1:8" ht="12.75">
      <c r="A1450" s="36"/>
      <c r="B1450" s="37"/>
      <c r="C1450" s="54"/>
      <c r="D1450" s="54"/>
      <c r="E1450" s="55"/>
      <c r="F1450" s="54"/>
      <c r="G1450" s="38"/>
      <c r="H1450" s="38"/>
    </row>
    <row r="1451" spans="1:8" ht="12.75">
      <c r="A1451" s="36"/>
      <c r="B1451" s="37"/>
      <c r="C1451" s="54"/>
      <c r="D1451" s="54"/>
      <c r="E1451" s="55"/>
      <c r="F1451" s="54"/>
      <c r="G1451" s="38"/>
      <c r="H1451" s="38"/>
    </row>
    <row r="1452" spans="1:8" ht="12.75">
      <c r="A1452" s="36"/>
      <c r="B1452" s="37"/>
      <c r="C1452" s="54"/>
      <c r="D1452" s="54"/>
      <c r="E1452" s="55"/>
      <c r="F1452" s="54"/>
      <c r="G1452" s="38"/>
      <c r="H1452" s="38"/>
    </row>
    <row r="1453" spans="1:8" ht="12.75">
      <c r="A1453" s="36"/>
      <c r="B1453" s="37"/>
      <c r="C1453" s="54"/>
      <c r="D1453" s="54"/>
      <c r="E1453" s="55"/>
      <c r="F1453" s="54"/>
      <c r="G1453" s="38"/>
      <c r="H1453" s="38"/>
    </row>
    <row r="1454" spans="1:8" ht="12.75">
      <c r="A1454" s="36"/>
      <c r="B1454" s="37"/>
      <c r="C1454" s="54"/>
      <c r="D1454" s="54"/>
      <c r="E1454" s="55"/>
      <c r="F1454" s="54"/>
      <c r="G1454" s="38"/>
      <c r="H1454" s="38"/>
    </row>
    <row r="1455" spans="1:8" ht="12.75">
      <c r="A1455" s="36"/>
      <c r="B1455" s="37"/>
      <c r="C1455" s="54"/>
      <c r="D1455" s="54"/>
      <c r="E1455" s="55"/>
      <c r="F1455" s="54"/>
      <c r="G1455" s="38"/>
      <c r="H1455" s="38"/>
    </row>
    <row r="1456" spans="1:8" ht="12.75">
      <c r="A1456" s="36"/>
      <c r="B1456" s="37"/>
      <c r="C1456" s="54"/>
      <c r="D1456" s="54"/>
      <c r="E1456" s="55"/>
      <c r="F1456" s="54"/>
      <c r="G1456" s="38"/>
      <c r="H1456" s="38"/>
    </row>
    <row r="1457" spans="1:8" ht="12.75">
      <c r="A1457" s="36"/>
      <c r="B1457" s="37"/>
      <c r="C1457" s="54"/>
      <c r="D1457" s="54"/>
      <c r="E1457" s="55"/>
      <c r="F1457" s="54"/>
      <c r="G1457" s="38"/>
      <c r="H1457" s="38"/>
    </row>
    <row r="1458" spans="1:8" ht="12.75">
      <c r="A1458" s="36"/>
      <c r="B1458" s="37"/>
      <c r="C1458" s="54"/>
      <c r="D1458" s="54"/>
      <c r="E1458" s="55"/>
      <c r="F1458" s="54"/>
      <c r="G1458" s="38"/>
      <c r="H1458" s="38"/>
    </row>
    <row r="1459" spans="1:8" ht="12.75">
      <c r="A1459" s="36"/>
      <c r="B1459" s="37"/>
      <c r="C1459" s="54"/>
      <c r="D1459" s="54"/>
      <c r="E1459" s="55"/>
      <c r="F1459" s="54"/>
      <c r="G1459" s="38"/>
      <c r="H1459" s="38"/>
    </row>
    <row r="1460" spans="1:8" ht="12.75">
      <c r="A1460" s="36"/>
      <c r="B1460" s="37"/>
      <c r="C1460" s="54"/>
      <c r="D1460" s="54"/>
      <c r="E1460" s="55"/>
      <c r="F1460" s="54"/>
      <c r="G1460" s="38"/>
      <c r="H1460" s="38"/>
    </row>
    <row r="1461" spans="1:8" ht="12.75">
      <c r="A1461" s="36"/>
      <c r="B1461" s="37"/>
      <c r="C1461" s="54"/>
      <c r="D1461" s="54"/>
      <c r="E1461" s="55"/>
      <c r="F1461" s="54"/>
      <c r="G1461" s="38"/>
      <c r="H1461" s="38"/>
    </row>
    <row r="1462" spans="1:8" ht="12.75">
      <c r="A1462" s="36"/>
      <c r="B1462" s="37"/>
      <c r="C1462" s="54"/>
      <c r="D1462" s="54"/>
      <c r="E1462" s="55"/>
      <c r="F1462" s="54"/>
      <c r="G1462" s="38"/>
      <c r="H1462" s="38"/>
    </row>
    <row r="1463" spans="1:8" ht="12.75">
      <c r="A1463" s="36"/>
      <c r="B1463" s="37"/>
      <c r="C1463" s="54"/>
      <c r="D1463" s="54"/>
      <c r="E1463" s="55"/>
      <c r="F1463" s="54"/>
      <c r="G1463" s="38"/>
      <c r="H1463" s="38"/>
    </row>
    <row r="1464" spans="1:8" ht="12.75">
      <c r="A1464" s="36"/>
      <c r="B1464" s="37"/>
      <c r="C1464" s="54"/>
      <c r="D1464" s="54"/>
      <c r="E1464" s="55"/>
      <c r="F1464" s="54"/>
      <c r="G1464" s="38"/>
      <c r="H1464" s="38"/>
    </row>
    <row r="1465" spans="1:8" ht="12.75">
      <c r="A1465" s="36"/>
      <c r="B1465" s="37"/>
      <c r="C1465" s="54"/>
      <c r="D1465" s="54"/>
      <c r="E1465" s="55"/>
      <c r="F1465" s="54"/>
      <c r="G1465" s="38"/>
      <c r="H1465" s="38"/>
    </row>
    <row r="1466" spans="1:8" ht="12.75">
      <c r="A1466" s="36"/>
      <c r="B1466" s="37"/>
      <c r="C1466" s="54"/>
      <c r="D1466" s="54"/>
      <c r="E1466" s="55"/>
      <c r="F1466" s="54"/>
      <c r="G1466" s="38"/>
      <c r="H1466" s="38"/>
    </row>
    <row r="1467" spans="1:8" ht="12.75">
      <c r="A1467" s="36"/>
      <c r="B1467" s="37"/>
      <c r="C1467" s="54"/>
      <c r="D1467" s="54"/>
      <c r="E1467" s="55"/>
      <c r="F1467" s="54"/>
      <c r="G1467" s="38"/>
      <c r="H1467" s="38"/>
    </row>
    <row r="1468" spans="1:8" ht="12.75">
      <c r="A1468" s="36"/>
      <c r="B1468" s="37"/>
      <c r="C1468" s="54"/>
      <c r="D1468" s="54"/>
      <c r="E1468" s="55"/>
      <c r="F1468" s="54"/>
      <c r="G1468" s="38"/>
      <c r="H1468" s="38"/>
    </row>
    <row r="1469" spans="1:8" ht="12.75">
      <c r="A1469" s="36"/>
      <c r="B1469" s="37"/>
      <c r="C1469" s="54"/>
      <c r="D1469" s="54"/>
      <c r="E1469" s="55"/>
      <c r="F1469" s="54"/>
      <c r="G1469" s="38"/>
      <c r="H1469" s="38"/>
    </row>
    <row r="1470" spans="1:8" ht="12.75">
      <c r="A1470" s="36"/>
      <c r="B1470" s="37"/>
      <c r="C1470" s="54"/>
      <c r="D1470" s="54"/>
      <c r="E1470" s="55"/>
      <c r="F1470" s="54"/>
      <c r="G1470" s="38"/>
      <c r="H1470" s="38"/>
    </row>
    <row r="1471" spans="1:8" ht="12.75">
      <c r="A1471" s="36"/>
      <c r="B1471" s="37"/>
      <c r="C1471" s="54"/>
      <c r="D1471" s="54"/>
      <c r="E1471" s="55"/>
      <c r="F1471" s="54"/>
      <c r="G1471" s="38"/>
      <c r="H1471" s="38"/>
    </row>
    <row r="1472" spans="1:8" ht="12.75">
      <c r="A1472" s="36"/>
      <c r="B1472" s="37"/>
      <c r="C1472" s="54"/>
      <c r="D1472" s="54"/>
      <c r="E1472" s="55"/>
      <c r="F1472" s="54"/>
      <c r="G1472" s="38"/>
      <c r="H1472" s="38"/>
    </row>
    <row r="1473" spans="1:8" ht="12.75">
      <c r="A1473" s="36"/>
      <c r="B1473" s="37"/>
      <c r="C1473" s="54"/>
      <c r="D1473" s="54"/>
      <c r="E1473" s="55"/>
      <c r="F1473" s="54"/>
      <c r="G1473" s="38"/>
      <c r="H1473" s="38"/>
    </row>
    <row r="1474" spans="1:8" ht="12.75">
      <c r="A1474" s="36"/>
      <c r="B1474" s="37"/>
      <c r="C1474" s="54"/>
      <c r="D1474" s="54"/>
      <c r="E1474" s="55"/>
      <c r="F1474" s="54"/>
      <c r="G1474" s="38"/>
      <c r="H1474" s="38"/>
    </row>
    <row r="1475" spans="1:8" ht="12.75">
      <c r="A1475" s="36"/>
      <c r="B1475" s="37"/>
      <c r="C1475" s="54"/>
      <c r="D1475" s="54"/>
      <c r="E1475" s="55"/>
      <c r="F1475" s="54"/>
      <c r="G1475" s="38"/>
      <c r="H1475" s="38"/>
    </row>
    <row r="1476" spans="1:8" ht="12.75">
      <c r="A1476" s="36"/>
      <c r="B1476" s="37"/>
      <c r="C1476" s="54"/>
      <c r="D1476" s="54"/>
      <c r="E1476" s="55"/>
      <c r="F1476" s="54"/>
      <c r="G1476" s="38"/>
      <c r="H1476" s="38"/>
    </row>
    <row r="1477" spans="1:8" ht="12.75">
      <c r="A1477" s="36"/>
      <c r="B1477" s="37"/>
      <c r="C1477" s="54"/>
      <c r="D1477" s="54"/>
      <c r="E1477" s="55"/>
      <c r="F1477" s="54"/>
      <c r="G1477" s="38"/>
      <c r="H1477" s="38"/>
    </row>
    <row r="1478" spans="1:8" ht="12.75">
      <c r="A1478" s="36"/>
      <c r="B1478" s="37"/>
      <c r="C1478" s="54"/>
      <c r="D1478" s="54"/>
      <c r="E1478" s="55"/>
      <c r="F1478" s="54"/>
      <c r="G1478" s="38"/>
      <c r="H1478" s="38"/>
    </row>
    <row r="1479" spans="1:8" ht="12.75">
      <c r="A1479" s="36"/>
      <c r="B1479" s="37"/>
      <c r="C1479" s="54"/>
      <c r="D1479" s="54"/>
      <c r="E1479" s="55"/>
      <c r="F1479" s="54"/>
      <c r="G1479" s="38"/>
      <c r="H1479" s="38"/>
    </row>
    <row r="1480" spans="1:8" ht="12.75">
      <c r="A1480" s="36"/>
      <c r="B1480" s="37"/>
      <c r="C1480" s="54"/>
      <c r="D1480" s="54"/>
      <c r="E1480" s="55"/>
      <c r="F1480" s="54"/>
      <c r="G1480" s="38"/>
      <c r="H1480" s="38"/>
    </row>
    <row r="1481" spans="1:8" ht="12.75">
      <c r="A1481" s="36"/>
      <c r="B1481" s="37"/>
      <c r="C1481" s="54"/>
      <c r="D1481" s="54"/>
      <c r="E1481" s="55"/>
      <c r="F1481" s="54"/>
      <c r="G1481" s="38"/>
      <c r="H1481" s="38"/>
    </row>
    <row r="1482" spans="1:8" ht="12.75">
      <c r="A1482" s="36"/>
      <c r="B1482" s="37"/>
      <c r="C1482" s="54"/>
      <c r="D1482" s="54"/>
      <c r="E1482" s="55"/>
      <c r="F1482" s="54"/>
      <c r="G1482" s="38"/>
      <c r="H1482" s="38"/>
    </row>
    <row r="1483" spans="1:8" ht="12.75">
      <c r="A1483" s="36"/>
      <c r="B1483" s="37"/>
      <c r="C1483" s="54"/>
      <c r="D1483" s="54"/>
      <c r="E1483" s="55"/>
      <c r="F1483" s="54"/>
      <c r="G1483" s="38"/>
      <c r="H1483" s="38"/>
    </row>
    <row r="1484" spans="1:8" ht="12.75">
      <c r="A1484" s="36"/>
      <c r="B1484" s="37"/>
      <c r="C1484" s="54"/>
      <c r="D1484" s="54"/>
      <c r="E1484" s="55"/>
      <c r="F1484" s="54"/>
      <c r="G1484" s="38"/>
      <c r="H1484" s="38"/>
    </row>
    <row r="1485" spans="1:8" ht="12.75">
      <c r="A1485" s="36"/>
      <c r="B1485" s="37"/>
      <c r="C1485" s="54"/>
      <c r="D1485" s="54"/>
      <c r="E1485" s="55"/>
      <c r="F1485" s="54"/>
      <c r="G1485" s="38"/>
      <c r="H1485" s="38"/>
    </row>
    <row r="1486" spans="1:8" ht="12.75">
      <c r="A1486" s="36"/>
      <c r="B1486" s="37"/>
      <c r="C1486" s="54"/>
      <c r="D1486" s="54"/>
      <c r="E1486" s="55"/>
      <c r="F1486" s="54"/>
      <c r="G1486" s="38"/>
      <c r="H1486" s="38"/>
    </row>
    <row r="1487" spans="1:8" ht="12.75">
      <c r="A1487" s="36"/>
      <c r="B1487" s="37"/>
      <c r="C1487" s="54"/>
      <c r="D1487" s="54"/>
      <c r="E1487" s="55"/>
      <c r="F1487" s="54"/>
      <c r="G1487" s="38"/>
      <c r="H1487" s="38"/>
    </row>
    <row r="1488" spans="1:8" ht="12.75">
      <c r="A1488" s="36"/>
      <c r="B1488" s="37"/>
      <c r="C1488" s="54"/>
      <c r="D1488" s="54"/>
      <c r="E1488" s="55"/>
      <c r="F1488" s="54"/>
      <c r="G1488" s="38"/>
      <c r="H1488" s="38"/>
    </row>
    <row r="1489" spans="1:8" ht="12.75">
      <c r="A1489" s="36"/>
      <c r="B1489" s="37"/>
      <c r="C1489" s="54"/>
      <c r="D1489" s="54"/>
      <c r="E1489" s="55"/>
      <c r="F1489" s="54"/>
      <c r="G1489" s="38"/>
      <c r="H1489" s="38"/>
    </row>
    <row r="1490" spans="1:8" ht="12.75">
      <c r="A1490" s="36"/>
      <c r="B1490" s="37"/>
      <c r="C1490" s="54"/>
      <c r="D1490" s="54"/>
      <c r="E1490" s="55"/>
      <c r="F1490" s="54"/>
      <c r="G1490" s="38"/>
      <c r="H1490" s="38"/>
    </row>
    <row r="1491" spans="1:8" ht="12.75">
      <c r="A1491" s="36"/>
      <c r="B1491" s="37"/>
      <c r="C1491" s="54"/>
      <c r="D1491" s="54"/>
      <c r="E1491" s="55"/>
      <c r="F1491" s="54"/>
      <c r="G1491" s="38"/>
      <c r="H1491" s="38"/>
    </row>
    <row r="1492" spans="1:8" ht="12.75">
      <c r="A1492" s="36"/>
      <c r="B1492" s="37"/>
      <c r="C1492" s="54"/>
      <c r="D1492" s="54"/>
      <c r="E1492" s="55"/>
      <c r="F1492" s="54"/>
      <c r="G1492" s="38"/>
      <c r="H1492" s="38"/>
    </row>
    <row r="1493" spans="1:8" ht="12.75">
      <c r="A1493" s="36"/>
      <c r="B1493" s="37"/>
      <c r="C1493" s="54"/>
      <c r="D1493" s="54"/>
      <c r="E1493" s="55"/>
      <c r="F1493" s="54"/>
      <c r="G1493" s="38"/>
      <c r="H1493" s="38"/>
    </row>
    <row r="1494" spans="1:8" ht="12.75">
      <c r="A1494" s="36"/>
      <c r="B1494" s="37"/>
      <c r="C1494" s="54"/>
      <c r="D1494" s="54"/>
      <c r="E1494" s="55"/>
      <c r="F1494" s="54"/>
      <c r="G1494" s="38"/>
      <c r="H1494" s="38"/>
    </row>
    <row r="1495" spans="1:8" ht="12.75">
      <c r="A1495" s="36"/>
      <c r="B1495" s="37"/>
      <c r="C1495" s="54"/>
      <c r="D1495" s="54"/>
      <c r="E1495" s="55"/>
      <c r="F1495" s="54"/>
      <c r="G1495" s="38"/>
      <c r="H1495" s="38"/>
    </row>
    <row r="1496" spans="1:8" ht="12.75">
      <c r="A1496" s="36"/>
      <c r="B1496" s="37"/>
      <c r="C1496" s="54"/>
      <c r="D1496" s="54"/>
      <c r="E1496" s="55"/>
      <c r="F1496" s="54"/>
      <c r="G1496" s="38"/>
      <c r="H1496" s="38"/>
    </row>
    <row r="1497" spans="1:8" ht="12.75">
      <c r="A1497" s="36"/>
      <c r="B1497" s="37"/>
      <c r="C1497" s="54"/>
      <c r="D1497" s="54"/>
      <c r="E1497" s="55"/>
      <c r="F1497" s="54"/>
      <c r="G1497" s="38"/>
      <c r="H1497" s="38"/>
    </row>
    <row r="1498" spans="1:8" ht="12.75">
      <c r="A1498" s="36"/>
      <c r="B1498" s="37"/>
      <c r="C1498" s="54"/>
      <c r="D1498" s="54"/>
      <c r="E1498" s="55"/>
      <c r="F1498" s="54"/>
      <c r="G1498" s="38"/>
      <c r="H1498" s="38"/>
    </row>
    <row r="1499" spans="1:8" ht="12.75">
      <c r="A1499" s="36"/>
      <c r="B1499" s="37"/>
      <c r="C1499" s="54"/>
      <c r="D1499" s="54"/>
      <c r="E1499" s="55"/>
      <c r="F1499" s="54"/>
      <c r="G1499" s="38"/>
      <c r="H1499" s="38"/>
    </row>
  </sheetData>
  <mergeCells count="4">
    <mergeCell ref="F1:H2"/>
    <mergeCell ref="F3:H4"/>
    <mergeCell ref="A6:H6"/>
    <mergeCell ref="A8:H8"/>
  </mergeCells>
  <pageMargins left="0.7" right="0.7" top="0.75" bottom="0.75" header="0.3" footer="0.3"/>
  <drawing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H99"/>
  <sheetViews>
    <sheetView workbookViewId="0">
      <pane ySplit="12" topLeftCell="A13" activePane="bottomLeft" state="frozen"/>
      <selection pane="bottomLeft" activeCell="B14" sqref="B14"/>
    </sheetView>
  </sheetViews>
  <sheetFormatPr baseColWidth="10" defaultColWidth="12.5703125" defaultRowHeight="15.75" customHeight="1"/>
  <cols>
    <col min="1" max="1" width="4" customWidth="1"/>
    <col min="2" max="2" width="15.28515625" customWidth="1"/>
    <col min="3" max="3" width="20.42578125" customWidth="1"/>
    <col min="4" max="4" width="19.5703125" customWidth="1"/>
    <col min="5" max="5" width="8" hidden="1" customWidth="1"/>
    <col min="6" max="6" width="32.42578125" customWidth="1"/>
    <col min="7" max="7" width="10" customWidth="1"/>
    <col min="8" max="8" width="29" customWidth="1"/>
  </cols>
  <sheetData>
    <row r="1" spans="1:8" ht="12" customHeight="1">
      <c r="A1" s="34"/>
      <c r="B1" s="34"/>
      <c r="C1" s="34"/>
      <c r="D1" s="34"/>
      <c r="E1" s="34"/>
      <c r="F1" s="126" t="s">
        <v>10</v>
      </c>
      <c r="G1" s="110"/>
      <c r="H1" s="110"/>
    </row>
    <row r="2" spans="1:8" ht="12" customHeight="1">
      <c r="A2" s="34"/>
      <c r="B2" s="34"/>
      <c r="C2" s="34"/>
      <c r="D2" s="34"/>
      <c r="E2" s="34"/>
      <c r="F2" s="114"/>
      <c r="G2" s="114"/>
      <c r="H2" s="114"/>
    </row>
    <row r="3" spans="1:8" ht="12" customHeight="1">
      <c r="A3" s="34"/>
      <c r="B3" s="34"/>
      <c r="C3" s="34"/>
      <c r="D3" s="34"/>
      <c r="E3" s="34"/>
      <c r="F3" s="127" t="s">
        <v>11</v>
      </c>
      <c r="G3" s="110"/>
      <c r="H3" s="110"/>
    </row>
    <row r="4" spans="1:8" ht="12" customHeight="1">
      <c r="A4" s="34"/>
      <c r="B4" s="34"/>
      <c r="C4" s="34"/>
      <c r="D4" s="34"/>
      <c r="E4" s="34"/>
      <c r="F4" s="110"/>
      <c r="G4" s="110"/>
      <c r="H4" s="110"/>
    </row>
    <row r="5" spans="1:8" ht="23.25">
      <c r="A5" s="34"/>
      <c r="B5" s="34"/>
      <c r="C5" s="34"/>
      <c r="D5" s="34"/>
      <c r="E5" s="34"/>
      <c r="F5" s="34"/>
      <c r="G5" s="34"/>
      <c r="H5" s="34"/>
    </row>
    <row r="6" spans="1:8" ht="23.25">
      <c r="A6" s="128" t="s">
        <v>103</v>
      </c>
      <c r="B6" s="110"/>
      <c r="C6" s="110"/>
      <c r="D6" s="110"/>
      <c r="E6" s="110"/>
      <c r="F6" s="110"/>
      <c r="G6" s="110"/>
      <c r="H6" s="110"/>
    </row>
    <row r="7" spans="1:8" ht="12.75">
      <c r="A7" s="36"/>
      <c r="E7" s="38"/>
      <c r="G7" s="38"/>
    </row>
    <row r="8" spans="1:8" ht="33" customHeight="1">
      <c r="A8" s="129" t="s">
        <v>104</v>
      </c>
      <c r="B8" s="122"/>
      <c r="C8" s="122"/>
      <c r="D8" s="122"/>
      <c r="E8" s="122"/>
      <c r="F8" s="122"/>
      <c r="G8" s="122"/>
      <c r="H8" s="118"/>
    </row>
    <row r="9" spans="1:8" ht="12.75">
      <c r="A9" s="36"/>
      <c r="E9" s="38"/>
      <c r="G9" s="38"/>
    </row>
    <row r="10" spans="1:8" ht="12.75">
      <c r="A10" s="39">
        <f ca="1">IFERROR(__xludf.DUMMYFUNCTION("IMPORTRANGE(""1qeeFCJCFKucGS14M4JpkDHd4OgBncP16-nnB1TgVYa4"",""JA2!A10"")"),74)</f>
        <v>74</v>
      </c>
      <c r="B10" s="40" t="s">
        <v>105</v>
      </c>
      <c r="E10" s="38"/>
      <c r="F10" s="41"/>
      <c r="G10" s="79"/>
      <c r="H10" s="41" t="s">
        <v>79</v>
      </c>
    </row>
    <row r="11" spans="1:8" ht="12.75">
      <c r="A11" s="36"/>
      <c r="E11" s="38"/>
      <c r="F11" s="41"/>
      <c r="G11" s="43"/>
      <c r="H11" s="43"/>
    </row>
    <row r="12" spans="1:8">
      <c r="A12" s="44" t="s">
        <v>80</v>
      </c>
      <c r="B12" s="45" t="s">
        <v>81</v>
      </c>
      <c r="C12" s="44" t="s">
        <v>82</v>
      </c>
      <c r="D12" s="44" t="s">
        <v>83</v>
      </c>
      <c r="E12" s="44" t="s">
        <v>84</v>
      </c>
      <c r="F12" s="44" t="s">
        <v>85</v>
      </c>
      <c r="G12" s="44" t="s">
        <v>86</v>
      </c>
      <c r="H12" s="44" t="s">
        <v>87</v>
      </c>
    </row>
    <row r="13" spans="1:8" ht="12.75">
      <c r="A13" s="46">
        <f ca="1">IFERROR(__xludf.DUMMYFUNCTION("IMPORTRANGE(""1qeeFCJCFKucGS14M4JpkDHd4OgBncP16-nnB1TgVYa4"",""JA2!A13:G1500"")"),1)</f>
        <v>1</v>
      </c>
      <c r="B13" s="65" t="str">
        <f ca="1">IFERROR(__xludf.DUMMYFUNCTION("""COMPUTED_VALUE"""),"084314")</f>
        <v>084314</v>
      </c>
      <c r="C13" s="48" t="str">
        <f ca="1">IFERROR(__xludf.DUMMYFUNCTION("""COMPUTED_VALUE"""),"ADAM")</f>
        <v>ADAM</v>
      </c>
      <c r="D13" s="48" t="str">
        <f ca="1">IFERROR(__xludf.DUMMYFUNCTION("""COMPUTED_VALUE"""),"Rémi")</f>
        <v>Rémi</v>
      </c>
      <c r="E13" s="49" t="str">
        <f ca="1">IFERROR(__xludf.DUMMYFUNCTION("""COMPUTED_VALUE"""),"06080006")</f>
        <v>06080006</v>
      </c>
      <c r="F13" s="48" t="str">
        <f ca="1">IFERROR(__xludf.DUMMYFUNCTION("""COMPUTED_VALUE"""),"BAZEILLES PPC")</f>
        <v>BAZEILLES PPC</v>
      </c>
      <c r="G13" s="50" t="str">
        <f ca="1">IFERROR(__xludf.DUMMYFUNCTION("""COMPUTED_VALUE"""),"CD08")</f>
        <v>CD08</v>
      </c>
      <c r="H13" s="50" t="str">
        <f ca="1">IFERROR(__xludf.DUMMYFUNCTION("IMPORTRANGE(""1qeeFCJCFKucGS14M4JpkDHd4OgBncP16-nnB1TgVYa4"",""JA2!I13:I1500"")"),"actif")</f>
        <v>actif</v>
      </c>
    </row>
    <row r="14" spans="1:8" ht="12.75">
      <c r="A14" s="46">
        <f ca="1">IFERROR(__xludf.DUMMYFUNCTION("""COMPUTED_VALUE"""),2)</f>
        <v>2</v>
      </c>
      <c r="B14" s="65" t="str">
        <f ca="1">IFERROR(__xludf.DUMMYFUNCTION("""COMPUTED_VALUE"""),"916316")</f>
        <v>916316</v>
      </c>
      <c r="C14" s="48" t="str">
        <f ca="1">IFERROR(__xludf.DUMMYFUNCTION("""COMPUTED_VALUE"""),"ARNAUD")</f>
        <v>ARNAUD</v>
      </c>
      <c r="D14" s="48" t="str">
        <f ca="1">IFERROR(__xludf.DUMMYFUNCTION("""COMPUTED_VALUE"""),"Christian")</f>
        <v>Christian</v>
      </c>
      <c r="E14" s="49" t="str">
        <f ca="1">IFERROR(__xludf.DUMMYFUNCTION("""COMPUTED_VALUE"""),"06670014")</f>
        <v>06670014</v>
      </c>
      <c r="F14" s="48" t="str">
        <f ca="1">IFERROR(__xludf.DUMMYFUNCTION("""COMPUTED_VALUE"""),"ILLKIRCH GRAFFENSTADEN AP")</f>
        <v>ILLKIRCH GRAFFENSTADEN AP</v>
      </c>
      <c r="G14" s="50" t="str">
        <f ca="1">IFERROR(__xludf.DUMMYFUNCTION("""COMPUTED_VALUE"""),"CD67")</f>
        <v>CD67</v>
      </c>
      <c r="H14" s="50" t="str">
        <f ca="1">IFERROR(__xludf.DUMMYFUNCTION("""COMPUTED_VALUE"""),"actif")</f>
        <v>actif</v>
      </c>
    </row>
    <row r="15" spans="1:8" ht="12.75">
      <c r="A15" s="46">
        <f ca="1">IFERROR(__xludf.DUMMYFUNCTION("""COMPUTED_VALUE"""),3)</f>
        <v>3</v>
      </c>
      <c r="B15" s="65" t="str">
        <f ca="1">IFERROR(__xludf.DUMMYFUNCTION("""COMPUTED_VALUE"""),"10136")</f>
        <v>10136</v>
      </c>
      <c r="C15" s="48" t="str">
        <f ca="1">IFERROR(__xludf.DUMMYFUNCTION("""COMPUTED_VALUE"""),"BARTHELEMY")</f>
        <v>BARTHELEMY</v>
      </c>
      <c r="D15" s="48" t="str">
        <f ca="1">IFERROR(__xludf.DUMMYFUNCTION("""COMPUTED_VALUE"""),"Christian")</f>
        <v>Christian</v>
      </c>
      <c r="E15" s="49" t="str">
        <f ca="1">IFERROR(__xludf.DUMMYFUNCTION("""COMPUTED_VALUE"""),"06100005")</f>
        <v>06100005</v>
      </c>
      <c r="F15" s="48" t="str">
        <f ca="1">IFERROR(__xludf.DUMMYFUNCTION("""COMPUTED_VALUE"""),"ROMILLY SPORTS 10")</f>
        <v>ROMILLY SPORTS 10</v>
      </c>
      <c r="G15" s="50" t="str">
        <f ca="1">IFERROR(__xludf.DUMMYFUNCTION("""COMPUTED_VALUE"""),"CD10")</f>
        <v>CD10</v>
      </c>
      <c r="H15" s="50" t="str">
        <f ca="1">IFERROR(__xludf.DUMMYFUNCTION("""COMPUTED_VALUE"""),"actif")</f>
        <v>actif</v>
      </c>
    </row>
    <row r="16" spans="1:8" ht="12.75">
      <c r="A16" s="46">
        <f ca="1">IFERROR(__xludf.DUMMYFUNCTION("""COMPUTED_VALUE"""),4)</f>
        <v>4</v>
      </c>
      <c r="B16" s="65" t="str">
        <f ca="1">IFERROR(__xludf.DUMMYFUNCTION("""COMPUTED_VALUE"""),"673078")</f>
        <v>673078</v>
      </c>
      <c r="C16" s="48" t="str">
        <f ca="1">IFERROR(__xludf.DUMMYFUNCTION("""COMPUTED_VALUE"""),"BLANCKAERT")</f>
        <v>BLANCKAERT</v>
      </c>
      <c r="D16" s="48" t="str">
        <f ca="1">IFERROR(__xludf.DUMMYFUNCTION("""COMPUTED_VALUE"""),"Georges")</f>
        <v>Georges</v>
      </c>
      <c r="E16" s="49" t="str">
        <f ca="1">IFERROR(__xludf.DUMMYFUNCTION("""COMPUTED_VALUE"""),"06670183")</f>
        <v>06670183</v>
      </c>
      <c r="F16" s="48" t="str">
        <f ca="1">IFERROR(__xludf.DUMMYFUNCTION("""COMPUTED_VALUE"""),"FCJ BOOTZHEIM")</f>
        <v>FCJ BOOTZHEIM</v>
      </c>
      <c r="G16" s="50" t="str">
        <f ca="1">IFERROR(__xludf.DUMMYFUNCTION("""COMPUTED_VALUE"""),"CD67")</f>
        <v>CD67</v>
      </c>
      <c r="H16" s="50" t="str">
        <f ca="1">IFERROR(__xludf.DUMMYFUNCTION("""COMPUTED_VALUE"""),"actif")</f>
        <v>actif</v>
      </c>
    </row>
    <row r="17" spans="1:8" ht="12.75">
      <c r="A17" s="46">
        <f ca="1">IFERROR(__xludf.DUMMYFUNCTION("""COMPUTED_VALUE"""),5)</f>
        <v>5</v>
      </c>
      <c r="B17" s="65" t="str">
        <f ca="1">IFERROR(__xludf.DUMMYFUNCTION("""COMPUTED_VALUE"""),"5720470")</f>
        <v>5720470</v>
      </c>
      <c r="C17" s="48" t="str">
        <f ca="1">IFERROR(__xludf.DUMMYFUNCTION("""COMPUTED_VALUE"""),"BOBER")</f>
        <v>BOBER</v>
      </c>
      <c r="D17" s="48" t="str">
        <f ca="1">IFERROR(__xludf.DUMMYFUNCTION("""COMPUTED_VALUE"""),"Samuel")</f>
        <v>Samuel</v>
      </c>
      <c r="E17" s="49" t="str">
        <f ca="1">IFERROR(__xludf.DUMMYFUNCTION("""COMPUTED_VALUE"""),"06570093")</f>
        <v>06570093</v>
      </c>
      <c r="F17" s="48" t="str">
        <f ca="1">IFERROR(__xludf.DUMMYFUNCTION("""COMPUTED_VALUE"""),"SCHOENECK T.T.")</f>
        <v>SCHOENECK T.T.</v>
      </c>
      <c r="G17" s="50" t="str">
        <f ca="1">IFERROR(__xludf.DUMMYFUNCTION("""COMPUTED_VALUE"""),"CD57")</f>
        <v>CD57</v>
      </c>
      <c r="H17" s="50" t="str">
        <f ca="1">IFERROR(__xludf.DUMMYFUNCTION("""COMPUTED_VALUE"""),"actif")</f>
        <v>actif</v>
      </c>
    </row>
    <row r="18" spans="1:8" ht="12.75">
      <c r="A18" s="46">
        <f ca="1">IFERROR(__xludf.DUMMYFUNCTION("""COMPUTED_VALUE"""),6)</f>
        <v>6</v>
      </c>
      <c r="B18" s="65" t="str">
        <f ca="1">IFERROR(__xludf.DUMMYFUNCTION("""COMPUTED_VALUE"""),"089612")</f>
        <v>089612</v>
      </c>
      <c r="C18" s="48" t="str">
        <f ca="1">IFERROR(__xludf.DUMMYFUNCTION("""COMPUTED_VALUE"""),"BRACONNIER")</f>
        <v>BRACONNIER</v>
      </c>
      <c r="D18" s="48" t="str">
        <f ca="1">IFERROR(__xludf.DUMMYFUNCTION("""COMPUTED_VALUE"""),"Jean-Michel")</f>
        <v>Jean-Michel</v>
      </c>
      <c r="E18" s="49" t="str">
        <f ca="1">IFERROR(__xludf.DUMMYFUNCTION("""COMPUTED_VALUE"""),"06080082")</f>
        <v>06080082</v>
      </c>
      <c r="F18" s="48" t="str">
        <f ca="1">IFERROR(__xludf.DUMMYFUNCTION("""COMPUTED_VALUE"""),"GLAIRE ASTT")</f>
        <v>GLAIRE ASTT</v>
      </c>
      <c r="G18" s="50" t="str">
        <f ca="1">IFERROR(__xludf.DUMMYFUNCTION("""COMPUTED_VALUE"""),"CD08")</f>
        <v>CD08</v>
      </c>
      <c r="H18" s="50" t="str">
        <f ca="1">IFERROR(__xludf.DUMMYFUNCTION("""COMPUTED_VALUE"""),"actif")</f>
        <v>actif</v>
      </c>
    </row>
    <row r="19" spans="1:8" ht="12.75">
      <c r="A19" s="46">
        <f ca="1">IFERROR(__xludf.DUMMYFUNCTION("""COMPUTED_VALUE"""),7)</f>
        <v>7</v>
      </c>
      <c r="B19" s="65" t="str">
        <f ca="1">IFERROR(__xludf.DUMMYFUNCTION("""COMPUTED_VALUE"""),"593547")</f>
        <v>593547</v>
      </c>
      <c r="C19" s="48" t="str">
        <f ca="1">IFERROR(__xludf.DUMMYFUNCTION("""COMPUTED_VALUE"""),"BRACQ")</f>
        <v>BRACQ</v>
      </c>
      <c r="D19" s="48" t="str">
        <f ca="1">IFERROR(__xludf.DUMMYFUNCTION("""COMPUTED_VALUE"""),"Thierry")</f>
        <v>Thierry</v>
      </c>
      <c r="E19" s="49" t="str">
        <f ca="1">IFERROR(__xludf.DUMMYFUNCTION("""COMPUTED_VALUE"""),"06880050")</f>
        <v>06880050</v>
      </c>
      <c r="F19" s="48" t="str">
        <f ca="1">IFERROR(__xludf.DUMMYFUNCTION("""COMPUTED_VALUE"""),"VAGNEY A.T.T.")</f>
        <v>VAGNEY A.T.T.</v>
      </c>
      <c r="G19" s="50" t="str">
        <f ca="1">IFERROR(__xludf.DUMMYFUNCTION("""COMPUTED_VALUE"""),"CD88")</f>
        <v>CD88</v>
      </c>
      <c r="H19" s="50" t="str">
        <f ca="1">IFERROR(__xludf.DUMMYFUNCTION("""COMPUTED_VALUE"""),"actif")</f>
        <v>actif</v>
      </c>
    </row>
    <row r="20" spans="1:8" ht="12.75">
      <c r="A20" s="46">
        <f ca="1">IFERROR(__xludf.DUMMYFUNCTION("""COMPUTED_VALUE"""),8)</f>
        <v>8</v>
      </c>
      <c r="B20" s="65" t="str">
        <f ca="1">IFERROR(__xludf.DUMMYFUNCTION("""COMPUTED_VALUE"""),"679376")</f>
        <v>679376</v>
      </c>
      <c r="C20" s="48" t="str">
        <f ca="1">IFERROR(__xludf.DUMMYFUNCTION("""COMPUTED_VALUE"""),"BRES")</f>
        <v>BRES</v>
      </c>
      <c r="D20" s="48" t="str">
        <f ca="1">IFERROR(__xludf.DUMMYFUNCTION("""COMPUTED_VALUE"""),"Sandrine")</f>
        <v>Sandrine</v>
      </c>
      <c r="E20" s="49" t="str">
        <f ca="1">IFERROR(__xludf.DUMMYFUNCTION("""COMPUTED_VALUE"""),"06670272")</f>
        <v>06670272</v>
      </c>
      <c r="F20" s="48" t="str">
        <f ca="1">IFERROR(__xludf.DUMMYFUNCTION("""COMPUTED_VALUE"""),"SCHILTIGHEIM Tennis de Table")</f>
        <v>SCHILTIGHEIM Tennis de Table</v>
      </c>
      <c r="G20" s="50" t="str">
        <f ca="1">IFERROR(__xludf.DUMMYFUNCTION("""COMPUTED_VALUE"""),"CD67")</f>
        <v>CD67</v>
      </c>
      <c r="H20" s="50" t="str">
        <f ca="1">IFERROR(__xludf.DUMMYFUNCTION("""COMPUTED_VALUE"""),"actif")</f>
        <v>actif</v>
      </c>
    </row>
    <row r="21" spans="1:8" ht="12.75">
      <c r="A21" s="46">
        <f ca="1">IFERROR(__xludf.DUMMYFUNCTION("""COMPUTED_VALUE"""),9)</f>
        <v>9</v>
      </c>
      <c r="B21" s="65" t="str">
        <f ca="1">IFERROR(__xludf.DUMMYFUNCTION("""COMPUTED_VALUE"""),"5410886")</f>
        <v>5410886</v>
      </c>
      <c r="C21" s="48" t="str">
        <f ca="1">IFERROR(__xludf.DUMMYFUNCTION("""COMPUTED_VALUE"""),"BURE")</f>
        <v>BURE</v>
      </c>
      <c r="D21" s="48" t="str">
        <f ca="1">IFERROR(__xludf.DUMMYFUNCTION("""COMPUTED_VALUE"""),"Sebastien")</f>
        <v>Sebastien</v>
      </c>
      <c r="E21" s="49" t="str">
        <f ca="1">IFERROR(__xludf.DUMMYFUNCTION("""COMPUTED_VALUE"""),"06540088")</f>
        <v>06540088</v>
      </c>
      <c r="F21" s="48" t="str">
        <f ca="1">IFERROR(__xludf.DUMMYFUNCTION("""COMPUTED_VALUE"""),"CHANTEHEUX TT")</f>
        <v>CHANTEHEUX TT</v>
      </c>
      <c r="G21" s="50" t="str">
        <f ca="1">IFERROR(__xludf.DUMMYFUNCTION("""COMPUTED_VALUE"""),"CD54")</f>
        <v>CD54</v>
      </c>
      <c r="H21" s="50" t="str">
        <f ca="1">IFERROR(__xludf.DUMMYFUNCTION("""COMPUTED_VALUE"""),"actif")</f>
        <v>actif</v>
      </c>
    </row>
    <row r="22" spans="1:8" ht="12.75">
      <c r="A22" s="46">
        <f ca="1">IFERROR(__xludf.DUMMYFUNCTION("""COMPUTED_VALUE"""),10)</f>
        <v>10</v>
      </c>
      <c r="B22" s="65" t="str">
        <f ca="1">IFERROR(__xludf.DUMMYFUNCTION("""COMPUTED_VALUE"""),"525068")</f>
        <v>525068</v>
      </c>
      <c r="C22" s="48" t="str">
        <f ca="1">IFERROR(__xludf.DUMMYFUNCTION("""COMPUTED_VALUE"""),"CHARLIER")</f>
        <v>CHARLIER</v>
      </c>
      <c r="D22" s="48" t="str">
        <f ca="1">IFERROR(__xludf.DUMMYFUNCTION("""COMPUTED_VALUE"""),"Christophe")</f>
        <v>Christophe</v>
      </c>
      <c r="E22" s="49" t="str">
        <f ca="1">IFERROR(__xludf.DUMMYFUNCTION("""COMPUTED_VALUE"""),"06520003")</f>
        <v>06520003</v>
      </c>
      <c r="F22" s="48" t="str">
        <f ca="1">IFERROR(__xludf.DUMMYFUNCTION("""COMPUTED_VALUE"""),"EURVILLE BIENVILLE Jeunes")</f>
        <v>EURVILLE BIENVILLE Jeunes</v>
      </c>
      <c r="G22" s="50" t="str">
        <f ca="1">IFERROR(__xludf.DUMMYFUNCTION("""COMPUTED_VALUE"""),"CD52")</f>
        <v>CD52</v>
      </c>
      <c r="H22" s="50" t="str">
        <f ca="1">IFERROR(__xludf.DUMMYFUNCTION("""COMPUTED_VALUE"""),"actif")</f>
        <v>actif</v>
      </c>
    </row>
    <row r="23" spans="1:8" ht="12.75">
      <c r="A23" s="46">
        <f ca="1">IFERROR(__xludf.DUMMYFUNCTION("""COMPUTED_VALUE"""),11)</f>
        <v>11</v>
      </c>
      <c r="B23" s="65" t="str">
        <f ca="1">IFERROR(__xludf.DUMMYFUNCTION("""COMPUTED_VALUE"""),"548971")</f>
        <v>548971</v>
      </c>
      <c r="C23" s="48" t="str">
        <f ca="1">IFERROR(__xludf.DUMMYFUNCTION("""COMPUTED_VALUE"""),"CHRISTAL")</f>
        <v>CHRISTAL</v>
      </c>
      <c r="D23" s="48" t="str">
        <f ca="1">IFERROR(__xludf.DUMMYFUNCTION("""COMPUTED_VALUE"""),"Virginie")</f>
        <v>Virginie</v>
      </c>
      <c r="E23" s="49" t="str">
        <f ca="1">IFERROR(__xludf.DUMMYFUNCTION("""COMPUTED_VALUE"""),"06540088")</f>
        <v>06540088</v>
      </c>
      <c r="F23" s="48" t="str">
        <f ca="1">IFERROR(__xludf.DUMMYFUNCTION("""COMPUTED_VALUE"""),"CHANTEHEUX TT")</f>
        <v>CHANTEHEUX TT</v>
      </c>
      <c r="G23" s="50" t="str">
        <f ca="1">IFERROR(__xludf.DUMMYFUNCTION("""COMPUTED_VALUE"""),"CD54")</f>
        <v>CD54</v>
      </c>
      <c r="H23" s="50" t="str">
        <f ca="1">IFERROR(__xludf.DUMMYFUNCTION("""COMPUTED_VALUE"""),"actif")</f>
        <v>actif</v>
      </c>
    </row>
    <row r="24" spans="1:8" ht="12.75">
      <c r="A24" s="46">
        <f ca="1">IFERROR(__xludf.DUMMYFUNCTION("""COMPUTED_VALUE"""),12)</f>
        <v>12</v>
      </c>
      <c r="B24" s="65" t="str">
        <f ca="1">IFERROR(__xludf.DUMMYFUNCTION("""COMPUTED_VALUE"""),"089473")</f>
        <v>089473</v>
      </c>
      <c r="C24" s="48" t="str">
        <f ca="1">IFERROR(__xludf.DUMMYFUNCTION("""COMPUTED_VALUE"""),"COLSON")</f>
        <v>COLSON</v>
      </c>
      <c r="D24" s="48" t="str">
        <f ca="1">IFERROR(__xludf.DUMMYFUNCTION("""COMPUTED_VALUE"""),"Virginie")</f>
        <v>Virginie</v>
      </c>
      <c r="E24" s="49" t="str">
        <f ca="1">IFERROR(__xludf.DUMMYFUNCTION("""COMPUTED_VALUE"""),"06080006")</f>
        <v>06080006</v>
      </c>
      <c r="F24" s="48" t="str">
        <f ca="1">IFERROR(__xludf.DUMMYFUNCTION("""COMPUTED_VALUE"""),"BAZEILLES PPC")</f>
        <v>BAZEILLES PPC</v>
      </c>
      <c r="G24" s="50" t="str">
        <f ca="1">IFERROR(__xludf.DUMMYFUNCTION("""COMPUTED_VALUE"""),"CD08")</f>
        <v>CD08</v>
      </c>
      <c r="H24" s="50" t="str">
        <f ca="1">IFERROR(__xludf.DUMMYFUNCTION("""COMPUTED_VALUE"""),"actif")</f>
        <v>actif</v>
      </c>
    </row>
    <row r="25" spans="1:8" ht="12.75">
      <c r="A25" s="46">
        <f ca="1">IFERROR(__xludf.DUMMYFUNCTION("""COMPUTED_VALUE"""),13)</f>
        <v>13</v>
      </c>
      <c r="B25" s="65" t="str">
        <f ca="1">IFERROR(__xludf.DUMMYFUNCTION("""COMPUTED_VALUE"""),"5726068")</f>
        <v>5726068</v>
      </c>
      <c r="C25" s="48" t="str">
        <f ca="1">IFERROR(__xludf.DUMMYFUNCTION("""COMPUTED_VALUE"""),"CONSTANTIN")</f>
        <v>CONSTANTIN</v>
      </c>
      <c r="D25" s="48" t="str">
        <f ca="1">IFERROR(__xludf.DUMMYFUNCTION("""COMPUTED_VALUE"""),"Thierry")</f>
        <v>Thierry</v>
      </c>
      <c r="E25" s="49" t="str">
        <f ca="1">IFERROR(__xludf.DUMMYFUNCTION("""COMPUTED_VALUE"""),"06570107")</f>
        <v>06570107</v>
      </c>
      <c r="F25" s="48" t="str">
        <f ca="1">IFERROR(__xludf.DUMMYFUNCTION("""COMPUTED_VALUE"""),"MAIZIÈRES-LÈS-METZ T.T.")</f>
        <v>MAIZIÈRES-LÈS-METZ T.T.</v>
      </c>
      <c r="G25" s="50" t="str">
        <f ca="1">IFERROR(__xludf.DUMMYFUNCTION("""COMPUTED_VALUE"""),"CD57")</f>
        <v>CD57</v>
      </c>
      <c r="H25" s="50" t="str">
        <f ca="1">IFERROR(__xludf.DUMMYFUNCTION("""COMPUTED_VALUE"""),"actif")</f>
        <v>actif</v>
      </c>
    </row>
    <row r="26" spans="1:8" ht="12.75">
      <c r="A26" s="46">
        <f ca="1">IFERROR(__xludf.DUMMYFUNCTION("""COMPUTED_VALUE"""),14)</f>
        <v>14</v>
      </c>
      <c r="B26" s="65" t="str">
        <f ca="1">IFERROR(__xludf.DUMMYFUNCTION("""COMPUTED_VALUE"""),"5726069")</f>
        <v>5726069</v>
      </c>
      <c r="C26" s="48" t="str">
        <f ca="1">IFERROR(__xludf.DUMMYFUNCTION("""COMPUTED_VALUE"""),"CONSTANTIN")</f>
        <v>CONSTANTIN</v>
      </c>
      <c r="D26" s="48" t="str">
        <f ca="1">IFERROR(__xludf.DUMMYFUNCTION("""COMPUTED_VALUE"""),"Florian")</f>
        <v>Florian</v>
      </c>
      <c r="E26" s="49" t="str">
        <f ca="1">IFERROR(__xludf.DUMMYFUNCTION("""COMPUTED_VALUE"""),"06570107")</f>
        <v>06570107</v>
      </c>
      <c r="F26" s="48" t="str">
        <f ca="1">IFERROR(__xludf.DUMMYFUNCTION("""COMPUTED_VALUE"""),"MAIZIÈRES-LÈS-METZ T.T.")</f>
        <v>MAIZIÈRES-LÈS-METZ T.T.</v>
      </c>
      <c r="G26" s="50" t="str">
        <f ca="1">IFERROR(__xludf.DUMMYFUNCTION("""COMPUTED_VALUE"""),"CD57")</f>
        <v>CD57</v>
      </c>
      <c r="H26" s="50" t="str">
        <f ca="1">IFERROR(__xludf.DUMMYFUNCTION("""COMPUTED_VALUE"""),"actif")</f>
        <v>actif</v>
      </c>
    </row>
    <row r="27" spans="1:8" ht="12.75">
      <c r="A27" s="46">
        <f ca="1">IFERROR(__xludf.DUMMYFUNCTION("""COMPUTED_VALUE"""),15)</f>
        <v>15</v>
      </c>
      <c r="B27" s="65" t="str">
        <f ca="1">IFERROR(__xludf.DUMMYFUNCTION("""COMPUTED_VALUE"""),"882872")</f>
        <v>882872</v>
      </c>
      <c r="C27" s="48" t="str">
        <f ca="1">IFERROR(__xludf.DUMMYFUNCTION("""COMPUTED_VALUE"""),"COSSIN")</f>
        <v>COSSIN</v>
      </c>
      <c r="D27" s="48" t="str">
        <f ca="1">IFERROR(__xludf.DUMMYFUNCTION("""COMPUTED_VALUE"""),"Christophe")</f>
        <v>Christophe</v>
      </c>
      <c r="E27" s="49" t="str">
        <f ca="1">IFERROR(__xludf.DUMMYFUNCTION("""COMPUTED_VALUE"""),"06880140")</f>
        <v>06880140</v>
      </c>
      <c r="F27" s="48" t="str">
        <f ca="1">IFERROR(__xludf.DUMMYFUNCTION("""COMPUTED_VALUE"""),"TENNIS DE TABLE THIAVILLE FR")</f>
        <v>TENNIS DE TABLE THIAVILLE FR</v>
      </c>
      <c r="G27" s="50" t="str">
        <f ca="1">IFERROR(__xludf.DUMMYFUNCTION("""COMPUTED_VALUE"""),"CD88")</f>
        <v>CD88</v>
      </c>
      <c r="H27" s="50" t="str">
        <f ca="1">IFERROR(__xludf.DUMMYFUNCTION("""COMPUTED_VALUE"""),"actif")</f>
        <v>actif</v>
      </c>
    </row>
    <row r="28" spans="1:8" ht="12.75">
      <c r="A28" s="46">
        <f ca="1">IFERROR(__xludf.DUMMYFUNCTION("""COMPUTED_VALUE"""),16)</f>
        <v>16</v>
      </c>
      <c r="B28" s="65" t="str">
        <f ca="1">IFERROR(__xludf.DUMMYFUNCTION("""COMPUTED_VALUE"""),"5430222")</f>
        <v>5430222</v>
      </c>
      <c r="C28" s="48" t="str">
        <f ca="1">IFERROR(__xludf.DUMMYFUNCTION("""COMPUTED_VALUE"""),"CREUSOT")</f>
        <v>CREUSOT</v>
      </c>
      <c r="D28" s="48" t="str">
        <f ca="1">IFERROR(__xludf.DUMMYFUNCTION("""COMPUTED_VALUE"""),"Benjamin")</f>
        <v>Benjamin</v>
      </c>
      <c r="E28" s="49" t="str">
        <f ca="1">IFERROR(__xludf.DUMMYFUNCTION("""COMPUTED_VALUE"""),"06540020")</f>
        <v>06540020</v>
      </c>
      <c r="F28" s="48" t="str">
        <f ca="1">IFERROR(__xludf.DUMMYFUNCTION("""COMPUTED_VALUE"""),"DOMBASLE STT")</f>
        <v>DOMBASLE STT</v>
      </c>
      <c r="G28" s="50" t="str">
        <f ca="1">IFERROR(__xludf.DUMMYFUNCTION("""COMPUTED_VALUE"""),"CD54")</f>
        <v>CD54</v>
      </c>
      <c r="H28" s="50" t="str">
        <f ca="1">IFERROR(__xludf.DUMMYFUNCTION("""COMPUTED_VALUE"""),"actif")</f>
        <v>actif</v>
      </c>
    </row>
    <row r="29" spans="1:8" ht="12.75">
      <c r="A29" s="46">
        <f ca="1">IFERROR(__xludf.DUMMYFUNCTION("""COMPUTED_VALUE"""),17)</f>
        <v>17</v>
      </c>
      <c r="B29" s="65" t="str">
        <f ca="1">IFERROR(__xludf.DUMMYFUNCTION("""COMPUTED_VALUE"""),"8811179")</f>
        <v>8811179</v>
      </c>
      <c r="C29" s="48" t="str">
        <f ca="1">IFERROR(__xludf.DUMMYFUNCTION("""COMPUTED_VALUE"""),"DA SILVA")</f>
        <v>DA SILVA</v>
      </c>
      <c r="D29" s="48" t="str">
        <f ca="1">IFERROR(__xludf.DUMMYFUNCTION("""COMPUTED_VALUE"""),"Damien")</f>
        <v>Damien</v>
      </c>
      <c r="E29" s="49" t="str">
        <f ca="1">IFERROR(__xludf.DUMMYFUNCTION("""COMPUTED_VALUE"""),"06880119")</f>
        <v>06880119</v>
      </c>
      <c r="F29" s="48" t="str">
        <f ca="1">IFERROR(__xludf.DUMMYFUNCTION("""COMPUTED_VALUE"""),"CHARMES-VINCEY T.T.")</f>
        <v>CHARMES-VINCEY T.T.</v>
      </c>
      <c r="G29" s="50" t="str">
        <f ca="1">IFERROR(__xludf.DUMMYFUNCTION("""COMPUTED_VALUE"""),"CD88")</f>
        <v>CD88</v>
      </c>
      <c r="H29" s="50" t="str">
        <f ca="1">IFERROR(__xludf.DUMMYFUNCTION("""COMPUTED_VALUE"""),"actif")</f>
        <v>actif</v>
      </c>
    </row>
    <row r="30" spans="1:8" ht="12.75">
      <c r="A30" s="46">
        <f ca="1">IFERROR(__xludf.DUMMYFUNCTION("""COMPUTED_VALUE"""),18)</f>
        <v>18</v>
      </c>
      <c r="B30" s="65" t="str">
        <f ca="1">IFERROR(__xludf.DUMMYFUNCTION("""COMPUTED_VALUE"""),"555104")</f>
        <v>555104</v>
      </c>
      <c r="C30" s="48" t="str">
        <f ca="1">IFERROR(__xludf.DUMMYFUNCTION("""COMPUTED_VALUE"""),"DELHAISE")</f>
        <v>DELHAISE</v>
      </c>
      <c r="D30" s="48" t="str">
        <f ca="1">IFERROR(__xludf.DUMMYFUNCTION("""COMPUTED_VALUE"""),"Bruno")</f>
        <v>Bruno</v>
      </c>
      <c r="E30" s="49" t="str">
        <f ca="1">IFERROR(__xludf.DUMMYFUNCTION("""COMPUTED_VALUE"""),"06550003")</f>
        <v>06550003</v>
      </c>
      <c r="F30" s="48" t="str">
        <f ca="1">IFERROR(__xludf.DUMMYFUNCTION("""COMPUTED_VALUE"""),"COMMERCY P.P.C.")</f>
        <v>COMMERCY P.P.C.</v>
      </c>
      <c r="G30" s="50" t="str">
        <f ca="1">IFERROR(__xludf.DUMMYFUNCTION("""COMPUTED_VALUE"""),"CD55")</f>
        <v>CD55</v>
      </c>
      <c r="H30" s="50" t="str">
        <f ca="1">IFERROR(__xludf.DUMMYFUNCTION("""COMPUTED_VALUE"""),"actif")</f>
        <v>actif</v>
      </c>
    </row>
    <row r="31" spans="1:8" ht="12.75">
      <c r="A31" s="46">
        <f ca="1">IFERROR(__xludf.DUMMYFUNCTION("""COMPUTED_VALUE"""),19)</f>
        <v>19</v>
      </c>
      <c r="B31" s="65" t="str">
        <f ca="1">IFERROR(__xludf.DUMMYFUNCTION("""COMPUTED_VALUE"""),"5427786")</f>
        <v>5427786</v>
      </c>
      <c r="C31" s="48" t="str">
        <f ca="1">IFERROR(__xludf.DUMMYFUNCTION("""COMPUTED_VALUE"""),"DENNEULIN")</f>
        <v>DENNEULIN</v>
      </c>
      <c r="D31" s="48" t="str">
        <f ca="1">IFERROR(__xludf.DUMMYFUNCTION("""COMPUTED_VALUE"""),"Geoffrey")</f>
        <v>Geoffrey</v>
      </c>
      <c r="E31" s="49" t="str">
        <f ca="1">IFERROR(__xludf.DUMMYFUNCTION("""COMPUTED_VALUE"""),"06540198")</f>
        <v>06540198</v>
      </c>
      <c r="F31" s="48" t="str">
        <f ca="1">IFERROR(__xludf.DUMMYFUNCTION("""COMPUTED_VALUE"""),"VANDOEUVRE ASTT")</f>
        <v>VANDOEUVRE ASTT</v>
      </c>
      <c r="G31" s="50" t="str">
        <f ca="1">IFERROR(__xludf.DUMMYFUNCTION("""COMPUTED_VALUE"""),"CD54")</f>
        <v>CD54</v>
      </c>
      <c r="H31" s="50" t="str">
        <f ca="1">IFERROR(__xludf.DUMMYFUNCTION("""COMPUTED_VALUE"""),"actif")</f>
        <v>actif</v>
      </c>
    </row>
    <row r="32" spans="1:8" ht="12.75">
      <c r="A32" s="46">
        <f ca="1">IFERROR(__xludf.DUMMYFUNCTION("""COMPUTED_VALUE"""),20)</f>
        <v>20</v>
      </c>
      <c r="B32" s="65" t="str">
        <f ca="1">IFERROR(__xludf.DUMMYFUNCTION("""COMPUTED_VALUE"""),"521425")</f>
        <v>521425</v>
      </c>
      <c r="C32" s="48" t="str">
        <f ca="1">IFERROR(__xludf.DUMMYFUNCTION("""COMPUTED_VALUE"""),"DEPRE")</f>
        <v>DEPRE</v>
      </c>
      <c r="D32" s="48" t="str">
        <f ca="1">IFERROR(__xludf.DUMMYFUNCTION("""COMPUTED_VALUE"""),"Yann")</f>
        <v>Yann</v>
      </c>
      <c r="E32" s="49" t="str">
        <f ca="1">IFERROR(__xludf.DUMMYFUNCTION("""COMPUTED_VALUE"""),"06520047")</f>
        <v>06520047</v>
      </c>
      <c r="F32" s="48" t="str">
        <f ca="1">IFERROR(__xludf.DUMMYFUNCTION("""COMPUTED_VALUE"""),"MONTIGNY LE ROI AJP")</f>
        <v>MONTIGNY LE ROI AJP</v>
      </c>
      <c r="G32" s="50" t="str">
        <f ca="1">IFERROR(__xludf.DUMMYFUNCTION("""COMPUTED_VALUE"""),"CD52")</f>
        <v>CD52</v>
      </c>
      <c r="H32" s="50" t="str">
        <f ca="1">IFERROR(__xludf.DUMMYFUNCTION("""COMPUTED_VALUE"""),"actif")</f>
        <v>actif</v>
      </c>
    </row>
    <row r="33" spans="1:8" ht="12.75">
      <c r="A33" s="46">
        <f ca="1">IFERROR(__xludf.DUMMYFUNCTION("""COMPUTED_VALUE"""),21)</f>
        <v>21</v>
      </c>
      <c r="B33" s="65" t="str">
        <f ca="1">IFERROR(__xludf.DUMMYFUNCTION("""COMPUTED_VALUE"""),"5418342")</f>
        <v>5418342</v>
      </c>
      <c r="C33" s="48" t="str">
        <f ca="1">IFERROR(__xludf.DUMMYFUNCTION("""COMPUTED_VALUE"""),"DERAY")</f>
        <v>DERAY</v>
      </c>
      <c r="D33" s="48" t="str">
        <f ca="1">IFERROR(__xludf.DUMMYFUNCTION("""COMPUTED_VALUE"""),"Vincent")</f>
        <v>Vincent</v>
      </c>
      <c r="E33" s="49" t="str">
        <f ca="1">IFERROR(__xludf.DUMMYFUNCTION("""COMPUTED_VALUE"""),"06540011")</f>
        <v>06540011</v>
      </c>
      <c r="F33" s="48" t="str">
        <f ca="1">IFERROR(__xludf.DUMMYFUNCTION("""COMPUTED_VALUE"""),"Frouard O.F.P.")</f>
        <v>Frouard O.F.P.</v>
      </c>
      <c r="G33" s="50" t="str">
        <f ca="1">IFERROR(__xludf.DUMMYFUNCTION("""COMPUTED_VALUE"""),"CD54")</f>
        <v>CD54</v>
      </c>
      <c r="H33" s="50" t="str">
        <f ca="1">IFERROR(__xludf.DUMMYFUNCTION("""COMPUTED_VALUE"""),"actif")</f>
        <v>actif</v>
      </c>
    </row>
    <row r="34" spans="1:8" ht="12.75">
      <c r="A34" s="46">
        <f ca="1">IFERROR(__xludf.DUMMYFUNCTION("""COMPUTED_VALUE"""),22)</f>
        <v>22</v>
      </c>
      <c r="B34" s="65" t="str">
        <f ca="1">IFERROR(__xludf.DUMMYFUNCTION("""COMPUTED_VALUE"""),"884797")</f>
        <v>884797</v>
      </c>
      <c r="C34" s="48" t="str">
        <f ca="1">IFERROR(__xludf.DUMMYFUNCTION("""COMPUTED_VALUE"""),"DOMBRAT")</f>
        <v>DOMBRAT</v>
      </c>
      <c r="D34" s="48" t="str">
        <f ca="1">IFERROR(__xludf.DUMMYFUNCTION("""COMPUTED_VALUE"""),"Jerome")</f>
        <v>Jerome</v>
      </c>
      <c r="E34" s="49" t="str">
        <f ca="1">IFERROR(__xludf.DUMMYFUNCTION("""COMPUTED_VALUE"""),"06880010")</f>
        <v>06880010</v>
      </c>
      <c r="F34" s="48" t="str">
        <f ca="1">IFERROR(__xludf.DUMMYFUNCTION("""COMPUTED_VALUE"""),"SAINT DIE SRDTT")</f>
        <v>SAINT DIE SRDTT</v>
      </c>
      <c r="G34" s="50" t="str">
        <f ca="1">IFERROR(__xludf.DUMMYFUNCTION("""COMPUTED_VALUE"""),"CD88")</f>
        <v>CD88</v>
      </c>
      <c r="H34" s="50" t="str">
        <f ca="1">IFERROR(__xludf.DUMMYFUNCTION("""COMPUTED_VALUE"""),"actif")</f>
        <v>actif</v>
      </c>
    </row>
    <row r="35" spans="1:8" ht="12.75">
      <c r="A35" s="46">
        <f ca="1">IFERROR(__xludf.DUMMYFUNCTION("""COMPUTED_VALUE"""),23)</f>
        <v>23</v>
      </c>
      <c r="B35" s="65" t="str">
        <f ca="1">IFERROR(__xludf.DUMMYFUNCTION("""COMPUTED_VALUE"""),"525339")</f>
        <v>525339</v>
      </c>
      <c r="C35" s="48" t="str">
        <f ca="1">IFERROR(__xludf.DUMMYFUNCTION("""COMPUTED_VALUE"""),"DOURSOUT")</f>
        <v>DOURSOUT</v>
      </c>
      <c r="D35" s="48" t="str">
        <f ca="1">IFERROR(__xludf.DUMMYFUNCTION("""COMPUTED_VALUE"""),"Valerie")</f>
        <v>Valerie</v>
      </c>
      <c r="E35" s="49" t="str">
        <f ca="1">IFERROR(__xludf.DUMMYFUNCTION("""COMPUTED_VALUE"""),"06520022")</f>
        <v>06520022</v>
      </c>
      <c r="F35" s="48" t="str">
        <f ca="1">IFERROR(__xludf.DUMMYFUNCTION("""COMPUTED_VALUE"""),"CHAUMONT ECAC")</f>
        <v>CHAUMONT ECAC</v>
      </c>
      <c r="G35" s="50" t="str">
        <f ca="1">IFERROR(__xludf.DUMMYFUNCTION("""COMPUTED_VALUE"""),"CD52")</f>
        <v>CD52</v>
      </c>
      <c r="H35" s="50" t="str">
        <f ca="1">IFERROR(__xludf.DUMMYFUNCTION("""COMPUTED_VALUE"""),"actif")</f>
        <v>actif</v>
      </c>
    </row>
    <row r="36" spans="1:8" ht="12.75">
      <c r="A36" s="46">
        <f ca="1">IFERROR(__xludf.DUMMYFUNCTION("""COMPUTED_VALUE"""),24)</f>
        <v>24</v>
      </c>
      <c r="B36" s="65" t="str">
        <f ca="1">IFERROR(__xludf.DUMMYFUNCTION("""COMPUTED_VALUE"""),"8816646")</f>
        <v>8816646</v>
      </c>
      <c r="C36" s="48" t="str">
        <f ca="1">IFERROR(__xludf.DUMMYFUNCTION("""COMPUTED_VALUE"""),"DURAND")</f>
        <v>DURAND</v>
      </c>
      <c r="D36" s="48" t="str">
        <f ca="1">IFERROR(__xludf.DUMMYFUNCTION("""COMPUTED_VALUE"""),"Laurent")</f>
        <v>Laurent</v>
      </c>
      <c r="E36" s="49" t="str">
        <f ca="1">IFERROR(__xludf.DUMMYFUNCTION("""COMPUTED_VALUE"""),"06880002")</f>
        <v>06880002</v>
      </c>
      <c r="F36" s="48" t="str">
        <f ca="1">IFERROR(__xludf.DUMMYFUNCTION("""COMPUTED_VALUE"""),"ANOULD Cercle Pongiste")</f>
        <v>ANOULD Cercle Pongiste</v>
      </c>
      <c r="G36" s="50" t="str">
        <f ca="1">IFERROR(__xludf.DUMMYFUNCTION("""COMPUTED_VALUE"""),"CD88")</f>
        <v>CD88</v>
      </c>
      <c r="H36" s="50" t="str">
        <f ca="1">IFERROR(__xludf.DUMMYFUNCTION("""COMPUTED_VALUE"""),"actif")</f>
        <v>actif</v>
      </c>
    </row>
    <row r="37" spans="1:8" ht="12.75">
      <c r="A37" s="46">
        <f ca="1">IFERROR(__xludf.DUMMYFUNCTION("""COMPUTED_VALUE"""),25)</f>
        <v>25</v>
      </c>
      <c r="B37" s="65" t="str">
        <f ca="1">IFERROR(__xludf.DUMMYFUNCTION("""COMPUTED_VALUE"""),"5726275")</f>
        <v>5726275</v>
      </c>
      <c r="C37" s="48" t="str">
        <f ca="1">IFERROR(__xludf.DUMMYFUNCTION("""COMPUTED_VALUE"""),"EGLOFF")</f>
        <v>EGLOFF</v>
      </c>
      <c r="D37" s="48" t="str">
        <f ca="1">IFERROR(__xludf.DUMMYFUNCTION("""COMPUTED_VALUE"""),"Christine")</f>
        <v>Christine</v>
      </c>
      <c r="E37" s="49" t="str">
        <f ca="1">IFERROR(__xludf.DUMMYFUNCTION("""COMPUTED_VALUE"""),"06570027")</f>
        <v>06570027</v>
      </c>
      <c r="F37" s="48" t="str">
        <f ca="1">IFERROR(__xludf.DUMMYFUNCTION("""COMPUTED_VALUE"""),"FORBACH U.S.T.T.")</f>
        <v>FORBACH U.S.T.T.</v>
      </c>
      <c r="G37" s="50" t="str">
        <f ca="1">IFERROR(__xludf.DUMMYFUNCTION("""COMPUTED_VALUE"""),"CD57")</f>
        <v>CD57</v>
      </c>
      <c r="H37" s="50" t="str">
        <f ca="1">IFERROR(__xludf.DUMMYFUNCTION("""COMPUTED_VALUE"""),"actif")</f>
        <v>actif</v>
      </c>
    </row>
    <row r="38" spans="1:8" ht="12.75">
      <c r="A38" s="46">
        <f ca="1">IFERROR(__xludf.DUMMYFUNCTION("""COMPUTED_VALUE"""),26)</f>
        <v>26</v>
      </c>
      <c r="B38" s="65" t="str">
        <f ca="1">IFERROR(__xludf.DUMMYFUNCTION("""COMPUTED_VALUE"""),"525653")</f>
        <v>525653</v>
      </c>
      <c r="C38" s="48" t="str">
        <f ca="1">IFERROR(__xludf.DUMMYFUNCTION("""COMPUTED_VALUE"""),"ESCHENBRENNER")</f>
        <v>ESCHENBRENNER</v>
      </c>
      <c r="D38" s="48" t="str">
        <f ca="1">IFERROR(__xludf.DUMMYFUNCTION("""COMPUTED_VALUE"""),"Sandrine")</f>
        <v>Sandrine</v>
      </c>
      <c r="E38" s="49" t="str">
        <f ca="1">IFERROR(__xludf.DUMMYFUNCTION("""COMPUTED_VALUE"""),"06520003")</f>
        <v>06520003</v>
      </c>
      <c r="F38" s="48" t="str">
        <f ca="1">IFERROR(__xludf.DUMMYFUNCTION("""COMPUTED_VALUE"""),"EURVILLE BIENVILLE Jeunes")</f>
        <v>EURVILLE BIENVILLE Jeunes</v>
      </c>
      <c r="G38" s="50" t="str">
        <f ca="1">IFERROR(__xludf.DUMMYFUNCTION("""COMPUTED_VALUE"""),"CD52")</f>
        <v>CD52</v>
      </c>
      <c r="H38" s="50" t="str">
        <f ca="1">IFERROR(__xludf.DUMMYFUNCTION("""COMPUTED_VALUE"""),"actif")</f>
        <v>actif</v>
      </c>
    </row>
    <row r="39" spans="1:8" ht="12.75">
      <c r="A39" s="46">
        <f ca="1">IFERROR(__xludf.DUMMYFUNCTION("""COMPUTED_VALUE"""),27)</f>
        <v>27</v>
      </c>
      <c r="B39" s="65" t="str">
        <f ca="1">IFERROR(__xludf.DUMMYFUNCTION("""COMPUTED_VALUE"""),"524398")</f>
        <v>524398</v>
      </c>
      <c r="C39" s="48" t="str">
        <f ca="1">IFERROR(__xludf.DUMMYFUNCTION("""COMPUTED_VALUE"""),"FLAMANT")</f>
        <v>FLAMANT</v>
      </c>
      <c r="D39" s="48" t="str">
        <f ca="1">IFERROR(__xludf.DUMMYFUNCTION("""COMPUTED_VALUE"""),"Stephane")</f>
        <v>Stephane</v>
      </c>
      <c r="E39" s="49" t="str">
        <f ca="1">IFERROR(__xludf.DUMMYFUNCTION("""COMPUTED_VALUE"""),"06550007")</f>
        <v>06550007</v>
      </c>
      <c r="F39" s="48" t="str">
        <f ca="1">IFERROR(__xludf.DUMMYFUNCTION("""COMPUTED_VALUE"""),"ANCERVILLE M.J.C.")</f>
        <v>ANCERVILLE M.J.C.</v>
      </c>
      <c r="G39" s="50" t="str">
        <f ca="1">IFERROR(__xludf.DUMMYFUNCTION("""COMPUTED_VALUE"""),"CD55")</f>
        <v>CD55</v>
      </c>
      <c r="H39" s="50" t="str">
        <f ca="1">IFERROR(__xludf.DUMMYFUNCTION("""COMPUTED_VALUE"""),"actif")</f>
        <v>actif</v>
      </c>
    </row>
    <row r="40" spans="1:8" ht="12.75">
      <c r="A40" s="46">
        <f ca="1">IFERROR(__xludf.DUMMYFUNCTION("""COMPUTED_VALUE"""),28)</f>
        <v>28</v>
      </c>
      <c r="B40" s="65" t="str">
        <f ca="1">IFERROR(__xludf.DUMMYFUNCTION("""COMPUTED_VALUE"""),"882441")</f>
        <v>882441</v>
      </c>
      <c r="C40" s="48" t="str">
        <f ca="1">IFERROR(__xludf.DUMMYFUNCTION("""COMPUTED_VALUE"""),"FRIRY")</f>
        <v>FRIRY</v>
      </c>
      <c r="D40" s="48" t="str">
        <f ca="1">IFERROR(__xludf.DUMMYFUNCTION("""COMPUTED_VALUE"""),"Isabelle")</f>
        <v>Isabelle</v>
      </c>
      <c r="E40" s="49" t="str">
        <f ca="1">IFERROR(__xludf.DUMMYFUNCTION("""COMPUTED_VALUE"""),"06880051")</f>
        <v>06880051</v>
      </c>
      <c r="F40" s="48" t="str">
        <f ca="1">IFERROR(__xludf.DUMMYFUNCTION("""COMPUTED_VALUE"""),"Raquette Golbéenne")</f>
        <v>Raquette Golbéenne</v>
      </c>
      <c r="G40" s="50" t="str">
        <f ca="1">IFERROR(__xludf.DUMMYFUNCTION("""COMPUTED_VALUE"""),"CD88")</f>
        <v>CD88</v>
      </c>
      <c r="H40" s="50" t="str">
        <f ca="1">IFERROR(__xludf.DUMMYFUNCTION("""COMPUTED_VALUE"""),"actif")</f>
        <v>actif</v>
      </c>
    </row>
    <row r="41" spans="1:8" ht="12.75">
      <c r="A41" s="46">
        <f ca="1">IFERROR(__xludf.DUMMYFUNCTION("""COMPUTED_VALUE"""),29)</f>
        <v>29</v>
      </c>
      <c r="B41" s="65" t="str">
        <f ca="1">IFERROR(__xludf.DUMMYFUNCTION("""COMPUTED_VALUE"""),"8814056")</f>
        <v>8814056</v>
      </c>
      <c r="C41" s="48" t="str">
        <f ca="1">IFERROR(__xludf.DUMMYFUNCTION("""COMPUTED_VALUE"""),"GIGNEY")</f>
        <v>GIGNEY</v>
      </c>
      <c r="D41" s="48" t="str">
        <f ca="1">IFERROR(__xludf.DUMMYFUNCTION("""COMPUTED_VALUE"""),"Maxime")</f>
        <v>Maxime</v>
      </c>
      <c r="E41" s="49" t="str">
        <f ca="1">IFERROR(__xludf.DUMMYFUNCTION("""COMPUTED_VALUE"""),"06880071")</f>
        <v>06880071</v>
      </c>
      <c r="F41" s="48" t="str">
        <f ca="1">IFERROR(__xludf.DUMMYFUNCTION("""COMPUTED_VALUE"""),"EPINAL T.S.P.")</f>
        <v>EPINAL T.S.P.</v>
      </c>
      <c r="G41" s="50" t="str">
        <f ca="1">IFERROR(__xludf.DUMMYFUNCTION("""COMPUTED_VALUE"""),"CD88")</f>
        <v>CD88</v>
      </c>
      <c r="H41" s="50" t="str">
        <f ca="1">IFERROR(__xludf.DUMMYFUNCTION("""COMPUTED_VALUE"""),"actif")</f>
        <v>actif</v>
      </c>
    </row>
    <row r="42" spans="1:8" ht="12.75">
      <c r="A42" s="46">
        <f ca="1">IFERROR(__xludf.DUMMYFUNCTION("""COMPUTED_VALUE"""),30)</f>
        <v>30</v>
      </c>
      <c r="B42" s="65" t="str">
        <f ca="1">IFERROR(__xludf.DUMMYFUNCTION("""COMPUTED_VALUE"""),"574303")</f>
        <v>574303</v>
      </c>
      <c r="C42" s="48" t="str">
        <f ca="1">IFERROR(__xludf.DUMMYFUNCTION("""COMPUTED_VALUE"""),"GREVIN")</f>
        <v>GREVIN</v>
      </c>
      <c r="D42" s="48" t="str">
        <f ca="1">IFERROR(__xludf.DUMMYFUNCTION("""COMPUTED_VALUE"""),"Anneline")</f>
        <v>Anneline</v>
      </c>
      <c r="E42" s="49" t="str">
        <f ca="1">IFERROR(__xludf.DUMMYFUNCTION("""COMPUTED_VALUE"""),"06570019")</f>
        <v>06570019</v>
      </c>
      <c r="F42" s="48" t="str">
        <f ca="1">IFERROR(__xludf.DUMMYFUNCTION("""COMPUTED_VALUE"""),"SAINT AVOLD C.T.T.")</f>
        <v>SAINT AVOLD C.T.T.</v>
      </c>
      <c r="G42" s="50" t="str">
        <f ca="1">IFERROR(__xludf.DUMMYFUNCTION("""COMPUTED_VALUE"""),"CD57")</f>
        <v>CD57</v>
      </c>
      <c r="H42" s="50" t="str">
        <f ca="1">IFERROR(__xludf.DUMMYFUNCTION("""COMPUTED_VALUE"""),"actif")</f>
        <v>actif</v>
      </c>
    </row>
    <row r="43" spans="1:8" ht="12.75">
      <c r="A43" s="46">
        <f ca="1">IFERROR(__xludf.DUMMYFUNCTION("""COMPUTED_VALUE"""),31)</f>
        <v>31</v>
      </c>
      <c r="B43" s="65" t="str">
        <f ca="1">IFERROR(__xludf.DUMMYFUNCTION("""COMPUTED_VALUE"""),"088585")</f>
        <v>088585</v>
      </c>
      <c r="C43" s="48" t="str">
        <f ca="1">IFERROR(__xludf.DUMMYFUNCTION("""COMPUTED_VALUE"""),"GUILLAUME")</f>
        <v>GUILLAUME</v>
      </c>
      <c r="D43" s="48" t="str">
        <f ca="1">IFERROR(__xludf.DUMMYFUNCTION("""COMPUTED_VALUE"""),"Jordan")</f>
        <v>Jordan</v>
      </c>
      <c r="E43" s="49" t="str">
        <f ca="1">IFERROR(__xludf.DUMMYFUNCTION("""COMPUTED_VALUE"""),"06080006")</f>
        <v>06080006</v>
      </c>
      <c r="F43" s="48" t="str">
        <f ca="1">IFERROR(__xludf.DUMMYFUNCTION("""COMPUTED_VALUE"""),"BAZEILLES PPC")</f>
        <v>BAZEILLES PPC</v>
      </c>
      <c r="G43" s="50" t="str">
        <f ca="1">IFERROR(__xludf.DUMMYFUNCTION("""COMPUTED_VALUE"""),"CD08")</f>
        <v>CD08</v>
      </c>
      <c r="H43" s="50" t="str">
        <f ca="1">IFERROR(__xludf.DUMMYFUNCTION("""COMPUTED_VALUE"""),"actif")</f>
        <v>actif</v>
      </c>
    </row>
    <row r="44" spans="1:8" ht="12.75">
      <c r="A44" s="46">
        <f ca="1">IFERROR(__xludf.DUMMYFUNCTION("""COMPUTED_VALUE"""),32)</f>
        <v>32</v>
      </c>
      <c r="B44" s="65" t="str">
        <f ca="1">IFERROR(__xludf.DUMMYFUNCTION("""COMPUTED_VALUE"""),"5430663")</f>
        <v>5430663</v>
      </c>
      <c r="C44" s="48" t="str">
        <f ca="1">IFERROR(__xludf.DUMMYFUNCTION("""COMPUTED_VALUE"""),"GUILLAUME")</f>
        <v>GUILLAUME</v>
      </c>
      <c r="D44" s="48" t="str">
        <f ca="1">IFERROR(__xludf.DUMMYFUNCTION("""COMPUTED_VALUE"""),"Sandra")</f>
        <v>Sandra</v>
      </c>
      <c r="E44" s="49" t="str">
        <f ca="1">IFERROR(__xludf.DUMMYFUNCTION("""COMPUTED_VALUE"""),"06540010")</f>
        <v>06540010</v>
      </c>
      <c r="F44" s="48" t="str">
        <f ca="1">IFERROR(__xludf.DUMMYFUNCTION("""COMPUTED_VALUE"""),"FOUG C.P.")</f>
        <v>FOUG C.P.</v>
      </c>
      <c r="G44" s="50" t="str">
        <f ca="1">IFERROR(__xludf.DUMMYFUNCTION("""COMPUTED_VALUE"""),"CD54")</f>
        <v>CD54</v>
      </c>
      <c r="H44" s="50" t="str">
        <f ca="1">IFERROR(__xludf.DUMMYFUNCTION("""COMPUTED_VALUE"""),"actif")</f>
        <v>actif</v>
      </c>
    </row>
    <row r="45" spans="1:8" ht="12.75">
      <c r="A45" s="46">
        <f ca="1">IFERROR(__xludf.DUMMYFUNCTION("""COMPUTED_VALUE"""),33)</f>
        <v>33</v>
      </c>
      <c r="B45" s="65" t="str">
        <f ca="1">IFERROR(__xludf.DUMMYFUNCTION("""COMPUTED_VALUE"""),"5430551")</f>
        <v>5430551</v>
      </c>
      <c r="C45" s="48" t="str">
        <f ca="1">IFERROR(__xludf.DUMMYFUNCTION("""COMPUTED_VALUE"""),"GUILLAUME")</f>
        <v>GUILLAUME</v>
      </c>
      <c r="D45" s="48" t="str">
        <f ca="1">IFERROR(__xludf.DUMMYFUNCTION("""COMPUTED_VALUE"""),"Lola")</f>
        <v>Lola</v>
      </c>
      <c r="E45" s="49" t="str">
        <f ca="1">IFERROR(__xludf.DUMMYFUNCTION("""COMPUTED_VALUE"""),"06540010")</f>
        <v>06540010</v>
      </c>
      <c r="F45" s="48" t="str">
        <f ca="1">IFERROR(__xludf.DUMMYFUNCTION("""COMPUTED_VALUE"""),"FOUG C.P.")</f>
        <v>FOUG C.P.</v>
      </c>
      <c r="G45" s="50" t="str">
        <f ca="1">IFERROR(__xludf.DUMMYFUNCTION("""COMPUTED_VALUE"""),"CD54")</f>
        <v>CD54</v>
      </c>
      <c r="H45" s="50" t="str">
        <f ca="1">IFERROR(__xludf.DUMMYFUNCTION("""COMPUTED_VALUE"""),"actif")</f>
        <v>actif</v>
      </c>
    </row>
    <row r="46" spans="1:8" ht="12.75">
      <c r="A46" s="46">
        <f ca="1">IFERROR(__xludf.DUMMYFUNCTION("""COMPUTED_VALUE"""),34)</f>
        <v>34</v>
      </c>
      <c r="B46" s="65" t="str">
        <f ca="1">IFERROR(__xludf.DUMMYFUNCTION("""COMPUTED_VALUE"""),"511925")</f>
        <v>511925</v>
      </c>
      <c r="C46" s="48" t="str">
        <f ca="1">IFERROR(__xludf.DUMMYFUNCTION("""COMPUTED_VALUE"""),"GUIRAO")</f>
        <v>GUIRAO</v>
      </c>
      <c r="D46" s="48" t="str">
        <f ca="1">IFERROR(__xludf.DUMMYFUNCTION("""COMPUTED_VALUE"""),"Jean Francois")</f>
        <v>Jean Francois</v>
      </c>
      <c r="E46" s="49" t="str">
        <f ca="1">IFERROR(__xludf.DUMMYFUNCTION("""COMPUTED_VALUE"""),"06510020")</f>
        <v>06510020</v>
      </c>
      <c r="F46" s="48" t="str">
        <f ca="1">IFERROR(__xludf.DUMMYFUNCTION("""COMPUTED_VALUE"""),"EPERNAY-PLIVOT PPC")</f>
        <v>EPERNAY-PLIVOT PPC</v>
      </c>
      <c r="G46" s="50" t="str">
        <f ca="1">IFERROR(__xludf.DUMMYFUNCTION("""COMPUTED_VALUE"""),"CD51")</f>
        <v>CD51</v>
      </c>
      <c r="H46" s="50" t="str">
        <f ca="1">IFERROR(__xludf.DUMMYFUNCTION("""COMPUTED_VALUE"""),"actif")</f>
        <v>actif</v>
      </c>
    </row>
    <row r="47" spans="1:8" ht="12.75">
      <c r="A47" s="46">
        <f ca="1">IFERROR(__xludf.DUMMYFUNCTION("""COMPUTED_VALUE"""),35)</f>
        <v>35</v>
      </c>
      <c r="B47" s="65" t="str">
        <f ca="1">IFERROR(__xludf.DUMMYFUNCTION("""COMPUTED_VALUE"""),"5721606")</f>
        <v>5721606</v>
      </c>
      <c r="C47" s="48" t="str">
        <f ca="1">IFERROR(__xludf.DUMMYFUNCTION("""COMPUTED_VALUE"""),"HEYMANN")</f>
        <v>HEYMANN</v>
      </c>
      <c r="D47" s="48" t="str">
        <f ca="1">IFERROR(__xludf.DUMMYFUNCTION("""COMPUTED_VALUE"""),"Christophe")</f>
        <v>Christophe</v>
      </c>
      <c r="E47" s="49" t="str">
        <f ca="1">IFERROR(__xludf.DUMMYFUNCTION("""COMPUTED_VALUE"""),"06570132")</f>
        <v>06570132</v>
      </c>
      <c r="F47" s="48" t="str">
        <f ca="1">IFERROR(__xludf.DUMMYFUNCTION("""COMPUTED_VALUE"""),"PAYS DE BITCHE TT")</f>
        <v>PAYS DE BITCHE TT</v>
      </c>
      <c r="G47" s="50" t="str">
        <f ca="1">IFERROR(__xludf.DUMMYFUNCTION("""COMPUTED_VALUE"""),"CD57")</f>
        <v>CD57</v>
      </c>
      <c r="H47" s="50" t="str">
        <f ca="1">IFERROR(__xludf.DUMMYFUNCTION("""COMPUTED_VALUE"""),"actif")</f>
        <v>actif</v>
      </c>
    </row>
    <row r="48" spans="1:8" ht="12.75">
      <c r="A48" s="46">
        <f ca="1">IFERROR(__xludf.DUMMYFUNCTION("""COMPUTED_VALUE"""),36)</f>
        <v>36</v>
      </c>
      <c r="B48" s="65" t="str">
        <f ca="1">IFERROR(__xludf.DUMMYFUNCTION("""COMPUTED_VALUE"""),"688426")</f>
        <v>688426</v>
      </c>
      <c r="C48" s="48" t="str">
        <f ca="1">IFERROR(__xludf.DUMMYFUNCTION("""COMPUTED_VALUE"""),"HOLLANDER")</f>
        <v>HOLLANDER</v>
      </c>
      <c r="D48" s="48" t="str">
        <f ca="1">IFERROR(__xludf.DUMMYFUNCTION("""COMPUTED_VALUE"""),"Astrid")</f>
        <v>Astrid</v>
      </c>
      <c r="E48" s="49" t="str">
        <f ca="1">IFERROR(__xludf.DUMMYFUNCTION("""COMPUTED_VALUE"""),"06680004")</f>
        <v>06680004</v>
      </c>
      <c r="F48" s="48" t="str">
        <f ca="1">IFERROR(__xludf.DUMMYFUNCTION("""COMPUTED_VALUE"""),"COLMAR MJC")</f>
        <v>COLMAR MJC</v>
      </c>
      <c r="G48" s="50" t="str">
        <f ca="1">IFERROR(__xludf.DUMMYFUNCTION("""COMPUTED_VALUE"""),"CD68")</f>
        <v>CD68</v>
      </c>
      <c r="H48" s="50" t="str">
        <f ca="1">IFERROR(__xludf.DUMMYFUNCTION("""COMPUTED_VALUE"""),"actif")</f>
        <v>actif</v>
      </c>
    </row>
    <row r="49" spans="1:8" ht="12.75">
      <c r="A49" s="46">
        <f ca="1">IFERROR(__xludf.DUMMYFUNCTION("""COMPUTED_VALUE"""),37)</f>
        <v>37</v>
      </c>
      <c r="B49" s="65" t="str">
        <f ca="1">IFERROR(__xludf.DUMMYFUNCTION("""COMPUTED_VALUE"""),"6716724")</f>
        <v>6716724</v>
      </c>
      <c r="C49" s="48" t="str">
        <f ca="1">IFERROR(__xludf.DUMMYFUNCTION("""COMPUTED_VALUE"""),"HOUSSEAU")</f>
        <v>HOUSSEAU</v>
      </c>
      <c r="D49" s="48" t="str">
        <f ca="1">IFERROR(__xludf.DUMMYFUNCTION("""COMPUTED_VALUE"""),"Christophe")</f>
        <v>Christophe</v>
      </c>
      <c r="E49" s="49" t="str">
        <f ca="1">IFERROR(__xludf.DUMMYFUNCTION("""COMPUTED_VALUE"""),"06670270")</f>
        <v>06670270</v>
      </c>
      <c r="F49" s="48" t="str">
        <f ca="1">IFERROR(__xludf.DUMMYFUNCTION("""COMPUTED_VALUE"""),"STRASBOURG EUROMETROPOLE TT")</f>
        <v>STRASBOURG EUROMETROPOLE TT</v>
      </c>
      <c r="G49" s="50" t="str">
        <f ca="1">IFERROR(__xludf.DUMMYFUNCTION("""COMPUTED_VALUE"""),"CD67")</f>
        <v>CD67</v>
      </c>
      <c r="H49" s="50" t="str">
        <f ca="1">IFERROR(__xludf.DUMMYFUNCTION("""COMPUTED_VALUE"""),"actif")</f>
        <v>actif</v>
      </c>
    </row>
    <row r="50" spans="1:8" ht="12.75">
      <c r="A50" s="46">
        <f ca="1">IFERROR(__xludf.DUMMYFUNCTION("""COMPUTED_VALUE"""),38)</f>
        <v>38</v>
      </c>
      <c r="B50" s="65" t="str">
        <f ca="1">IFERROR(__xludf.DUMMYFUNCTION("""COMPUTED_VALUE"""),"52210")</f>
        <v>52210</v>
      </c>
      <c r="C50" s="48" t="str">
        <f ca="1">IFERROR(__xludf.DUMMYFUNCTION("""COMPUTED_VALUE"""),"KOLB")</f>
        <v>KOLB</v>
      </c>
      <c r="D50" s="48" t="str">
        <f ca="1">IFERROR(__xludf.DUMMYFUNCTION("""COMPUTED_VALUE"""),"Jean Pierre")</f>
        <v>Jean Pierre</v>
      </c>
      <c r="E50" s="49" t="str">
        <f ca="1">IFERROR(__xludf.DUMMYFUNCTION("""COMPUTED_VALUE"""),"06520022")</f>
        <v>06520022</v>
      </c>
      <c r="F50" s="48" t="str">
        <f ca="1">IFERROR(__xludf.DUMMYFUNCTION("""COMPUTED_VALUE"""),"CHAUMONT ECAC")</f>
        <v>CHAUMONT ECAC</v>
      </c>
      <c r="G50" s="50" t="str">
        <f ca="1">IFERROR(__xludf.DUMMYFUNCTION("""COMPUTED_VALUE"""),"CD52")</f>
        <v>CD52</v>
      </c>
      <c r="H50" s="50" t="str">
        <f ca="1">IFERROR(__xludf.DUMMYFUNCTION("""COMPUTED_VALUE"""),"actif")</f>
        <v>actif</v>
      </c>
    </row>
    <row r="51" spans="1:8" ht="12.75">
      <c r="A51" s="46">
        <f ca="1">IFERROR(__xludf.DUMMYFUNCTION("""COMPUTED_VALUE"""),39)</f>
        <v>39</v>
      </c>
      <c r="B51" s="65" t="str">
        <f ca="1">IFERROR(__xludf.DUMMYFUNCTION("""COMPUTED_VALUE"""),"521259")</f>
        <v>521259</v>
      </c>
      <c r="C51" s="48" t="str">
        <f ca="1">IFERROR(__xludf.DUMMYFUNCTION("""COMPUTED_VALUE"""),"KOLINSKY")</f>
        <v>KOLINSKY</v>
      </c>
      <c r="D51" s="48" t="str">
        <f ca="1">IFERROR(__xludf.DUMMYFUNCTION("""COMPUTED_VALUE"""),"Yves")</f>
        <v>Yves</v>
      </c>
      <c r="E51" s="49" t="str">
        <f ca="1">IFERROR(__xludf.DUMMYFUNCTION("""COMPUTED_VALUE"""),"06520022")</f>
        <v>06520022</v>
      </c>
      <c r="F51" s="48" t="str">
        <f ca="1">IFERROR(__xludf.DUMMYFUNCTION("""COMPUTED_VALUE"""),"CHAUMONT ECAC")</f>
        <v>CHAUMONT ECAC</v>
      </c>
      <c r="G51" s="50" t="str">
        <f ca="1">IFERROR(__xludf.DUMMYFUNCTION("""COMPUTED_VALUE"""),"CD52")</f>
        <v>CD52</v>
      </c>
      <c r="H51" s="50" t="str">
        <f ca="1">IFERROR(__xludf.DUMMYFUNCTION("""COMPUTED_VALUE"""),"actif")</f>
        <v>actif</v>
      </c>
    </row>
    <row r="52" spans="1:8" ht="12.75">
      <c r="A52" s="46">
        <f ca="1">IFERROR(__xludf.DUMMYFUNCTION("""COMPUTED_VALUE"""),40)</f>
        <v>40</v>
      </c>
      <c r="B52" s="65" t="str">
        <f ca="1">IFERROR(__xludf.DUMMYFUNCTION("""COMPUTED_VALUE"""),"5731688")</f>
        <v>5731688</v>
      </c>
      <c r="C52" s="48" t="str">
        <f ca="1">IFERROR(__xludf.DUMMYFUNCTION("""COMPUTED_VALUE"""),"KUNTZ")</f>
        <v>KUNTZ</v>
      </c>
      <c r="D52" s="48" t="str">
        <f ca="1">IFERROR(__xludf.DUMMYFUNCTION("""COMPUTED_VALUE"""),"Nicolas")</f>
        <v>Nicolas</v>
      </c>
      <c r="E52" s="49" t="str">
        <f ca="1">IFERROR(__xludf.DUMMYFUNCTION("""COMPUTED_VALUE"""),"06570029")</f>
        <v>06570029</v>
      </c>
      <c r="F52" s="48" t="str">
        <f ca="1">IFERROR(__xludf.DUMMYFUNCTION("""COMPUTED_VALUE"""),"WILLERWALD A.S.")</f>
        <v>WILLERWALD A.S.</v>
      </c>
      <c r="G52" s="50" t="str">
        <f ca="1">IFERROR(__xludf.DUMMYFUNCTION("""COMPUTED_VALUE"""),"CD57")</f>
        <v>CD57</v>
      </c>
      <c r="H52" s="50" t="str">
        <f ca="1">IFERROR(__xludf.DUMMYFUNCTION("""COMPUTED_VALUE"""),"actif")</f>
        <v>actif</v>
      </c>
    </row>
    <row r="53" spans="1:8" ht="12.75">
      <c r="A53" s="46">
        <f ca="1">IFERROR(__xludf.DUMMYFUNCTION("""COMPUTED_VALUE"""),41)</f>
        <v>41</v>
      </c>
      <c r="B53" s="65" t="str">
        <f ca="1">IFERROR(__xludf.DUMMYFUNCTION("""COMPUTED_VALUE"""),"5731467")</f>
        <v>5731467</v>
      </c>
      <c r="C53" s="48" t="str">
        <f ca="1">IFERROR(__xludf.DUMMYFUNCTION("""COMPUTED_VALUE"""),"LAMIRAND")</f>
        <v>LAMIRAND</v>
      </c>
      <c r="D53" s="48" t="str">
        <f ca="1">IFERROR(__xludf.DUMMYFUNCTION("""COMPUTED_VALUE"""),"Stéphane")</f>
        <v>Stéphane</v>
      </c>
      <c r="E53" s="49" t="str">
        <f ca="1">IFERROR(__xludf.DUMMYFUNCTION("""COMPUTED_VALUE"""),"06570107")</f>
        <v>06570107</v>
      </c>
      <c r="F53" s="48" t="str">
        <f ca="1">IFERROR(__xludf.DUMMYFUNCTION("""COMPUTED_VALUE"""),"MAIZIÈRES-LÈS-METZ T.T.")</f>
        <v>MAIZIÈRES-LÈS-METZ T.T.</v>
      </c>
      <c r="G53" s="50" t="str">
        <f ca="1">IFERROR(__xludf.DUMMYFUNCTION("""COMPUTED_VALUE"""),"CD57")</f>
        <v>CD57</v>
      </c>
      <c r="H53" s="50" t="str">
        <f ca="1">IFERROR(__xludf.DUMMYFUNCTION("""COMPUTED_VALUE"""),"actif")</f>
        <v>actif</v>
      </c>
    </row>
    <row r="54" spans="1:8" ht="12.75">
      <c r="A54" s="46">
        <f ca="1">IFERROR(__xludf.DUMMYFUNCTION("""COMPUTED_VALUE"""),42)</f>
        <v>42</v>
      </c>
      <c r="B54" s="65" t="str">
        <f ca="1">IFERROR(__xludf.DUMMYFUNCTION("""COMPUTED_VALUE"""),"8816162")</f>
        <v>8816162</v>
      </c>
      <c r="C54" s="48" t="str">
        <f ca="1">IFERROR(__xludf.DUMMYFUNCTION("""COMPUTED_VALUE"""),"LECOMTE")</f>
        <v>LECOMTE</v>
      </c>
      <c r="D54" s="48" t="str">
        <f ca="1">IFERROR(__xludf.DUMMYFUNCTION("""COMPUTED_VALUE"""),"Louis")</f>
        <v>Louis</v>
      </c>
      <c r="E54" s="49" t="str">
        <f ca="1">IFERROR(__xludf.DUMMYFUNCTION("""COMPUTED_VALUE"""),"06880066")</f>
        <v>06880066</v>
      </c>
      <c r="F54" s="48" t="str">
        <f ca="1">IFERROR(__xludf.DUMMYFUNCTION("""COMPUTED_VALUE"""),"ELOYES C.L.L.T.T.")</f>
        <v>ELOYES C.L.L.T.T.</v>
      </c>
      <c r="G54" s="50" t="str">
        <f ca="1">IFERROR(__xludf.DUMMYFUNCTION("""COMPUTED_VALUE"""),"CD88")</f>
        <v>CD88</v>
      </c>
      <c r="H54" s="50" t="str">
        <f ca="1">IFERROR(__xludf.DUMMYFUNCTION("""COMPUTED_VALUE"""),"actif")</f>
        <v>actif</v>
      </c>
    </row>
    <row r="55" spans="1:8" ht="12.75">
      <c r="A55" s="46">
        <f ca="1">IFERROR(__xludf.DUMMYFUNCTION("""COMPUTED_VALUE"""),43)</f>
        <v>43</v>
      </c>
      <c r="B55" s="65" t="str">
        <f ca="1">IFERROR(__xludf.DUMMYFUNCTION("""COMPUTED_VALUE"""),"5110421")</f>
        <v>5110421</v>
      </c>
      <c r="C55" s="48" t="str">
        <f ca="1">IFERROR(__xludf.DUMMYFUNCTION("""COMPUTED_VALUE"""),"LEGRY")</f>
        <v>LEGRY</v>
      </c>
      <c r="D55" s="48" t="str">
        <f ca="1">IFERROR(__xludf.DUMMYFUNCTION("""COMPUTED_VALUE"""),"Clemence")</f>
        <v>Clemence</v>
      </c>
      <c r="E55" s="49" t="str">
        <f ca="1">IFERROR(__xludf.DUMMYFUNCTION("""COMPUTED_VALUE"""),"06570005")</f>
        <v>06570005</v>
      </c>
      <c r="F55" s="48" t="str">
        <f ca="1">IFERROR(__xludf.DUMMYFUNCTION("""COMPUTED_VALUE"""),"FAULQUEMONT E.S.C.")</f>
        <v>FAULQUEMONT E.S.C.</v>
      </c>
      <c r="G55" s="50" t="str">
        <f ca="1">IFERROR(__xludf.DUMMYFUNCTION("""COMPUTED_VALUE"""),"CD57")</f>
        <v>CD57</v>
      </c>
      <c r="H55" s="50" t="str">
        <f ca="1">IFERROR(__xludf.DUMMYFUNCTION("""COMPUTED_VALUE"""),"actif")</f>
        <v>actif</v>
      </c>
    </row>
    <row r="56" spans="1:8" ht="12.75">
      <c r="A56" s="46">
        <f ca="1">IFERROR(__xludf.DUMMYFUNCTION("""COMPUTED_VALUE"""),44)</f>
        <v>44</v>
      </c>
      <c r="B56" s="65" t="str">
        <f ca="1">IFERROR(__xludf.DUMMYFUNCTION("""COMPUTED_VALUE"""),"5714949")</f>
        <v>5714949</v>
      </c>
      <c r="C56" s="48" t="str">
        <f ca="1">IFERROR(__xludf.DUMMYFUNCTION("""COMPUTED_VALUE"""),"LEONARDI")</f>
        <v>LEONARDI</v>
      </c>
      <c r="D56" s="48" t="str">
        <f ca="1">IFERROR(__xludf.DUMMYFUNCTION("""COMPUTED_VALUE"""),"Yannick")</f>
        <v>Yannick</v>
      </c>
      <c r="E56" s="49" t="str">
        <f ca="1">IFERROR(__xludf.DUMMYFUNCTION("""COMPUTED_VALUE"""),"06540001")</f>
        <v>06540001</v>
      </c>
      <c r="F56" s="48" t="str">
        <f ca="1">IFERROR(__xludf.DUMMYFUNCTION("""COMPUTED_VALUE"""),"BLAINVILLE DAMELEVIERES AC")</f>
        <v>BLAINVILLE DAMELEVIERES AC</v>
      </c>
      <c r="G56" s="50" t="str">
        <f ca="1">IFERROR(__xludf.DUMMYFUNCTION("""COMPUTED_VALUE"""),"CD54")</f>
        <v>CD54</v>
      </c>
      <c r="H56" s="50" t="str">
        <f ca="1">IFERROR(__xludf.DUMMYFUNCTION("""COMPUTED_VALUE"""),"actif")</f>
        <v>actif</v>
      </c>
    </row>
    <row r="57" spans="1:8" ht="12.75">
      <c r="A57" s="46">
        <f ca="1">IFERROR(__xludf.DUMMYFUNCTION("""COMPUTED_VALUE"""),45)</f>
        <v>45</v>
      </c>
      <c r="B57" s="65" t="str">
        <f ca="1">IFERROR(__xludf.DUMMYFUNCTION("""COMPUTED_VALUE"""),"558622")</f>
        <v>558622</v>
      </c>
      <c r="C57" s="48" t="str">
        <f ca="1">IFERROR(__xludf.DUMMYFUNCTION("""COMPUTED_VALUE"""),"LHOTEL")</f>
        <v>LHOTEL</v>
      </c>
      <c r="D57" s="48" t="str">
        <f ca="1">IFERROR(__xludf.DUMMYFUNCTION("""COMPUTED_VALUE"""),"Celine")</f>
        <v>Celine</v>
      </c>
      <c r="E57" s="49" t="str">
        <f ca="1">IFERROR(__xludf.DUMMYFUNCTION("""COMPUTED_VALUE"""),"06550013")</f>
        <v>06550013</v>
      </c>
      <c r="F57" s="48" t="str">
        <f ca="1">IFERROR(__xludf.DUMMYFUNCTION("""COMPUTED_VALUE"""),"VERDUN S.A.V.T.T.")</f>
        <v>VERDUN S.A.V.T.T.</v>
      </c>
      <c r="G57" s="50" t="str">
        <f ca="1">IFERROR(__xludf.DUMMYFUNCTION("""COMPUTED_VALUE"""),"CD55")</f>
        <v>CD55</v>
      </c>
      <c r="H57" s="50" t="str">
        <f ca="1">IFERROR(__xludf.DUMMYFUNCTION("""COMPUTED_VALUE"""),"actif")</f>
        <v>actif</v>
      </c>
    </row>
    <row r="58" spans="1:8" ht="12.75">
      <c r="A58" s="46">
        <f ca="1">IFERROR(__xludf.DUMMYFUNCTION("""COMPUTED_VALUE"""),46)</f>
        <v>46</v>
      </c>
      <c r="B58" s="65" t="str">
        <f ca="1">IFERROR(__xludf.DUMMYFUNCTION("""COMPUTED_VALUE"""),"546623")</f>
        <v>546623</v>
      </c>
      <c r="C58" s="48" t="str">
        <f ca="1">IFERROR(__xludf.DUMMYFUNCTION("""COMPUTED_VALUE"""),"LICHON")</f>
        <v>LICHON</v>
      </c>
      <c r="D58" s="48" t="str">
        <f ca="1">IFERROR(__xludf.DUMMYFUNCTION("""COMPUTED_VALUE"""),"Stephane")</f>
        <v>Stephane</v>
      </c>
      <c r="E58" s="49" t="str">
        <f ca="1">IFERROR(__xludf.DUMMYFUNCTION("""COMPUTED_VALUE"""),"06540104")</f>
        <v>06540104</v>
      </c>
      <c r="F58" s="48" t="str">
        <f ca="1">IFERROR(__xludf.DUMMYFUNCTION("""COMPUTED_VALUE"""),"AUDUN LE ROMAN ASTT")</f>
        <v>AUDUN LE ROMAN ASTT</v>
      </c>
      <c r="G58" s="50" t="str">
        <f ca="1">IFERROR(__xludf.DUMMYFUNCTION("""COMPUTED_VALUE"""),"CD54")</f>
        <v>CD54</v>
      </c>
      <c r="H58" s="50" t="str">
        <f ca="1">IFERROR(__xludf.DUMMYFUNCTION("""COMPUTED_VALUE"""),"actif")</f>
        <v>actif</v>
      </c>
    </row>
    <row r="59" spans="1:8" ht="12.75">
      <c r="A59" s="46">
        <f ca="1">IFERROR(__xludf.DUMMYFUNCTION("""COMPUTED_VALUE"""),47)</f>
        <v>47</v>
      </c>
      <c r="B59" s="65" t="str">
        <f ca="1">IFERROR(__xludf.DUMMYFUNCTION("""COMPUTED_VALUE"""),"683189")</f>
        <v>683189</v>
      </c>
      <c r="C59" s="48" t="str">
        <f ca="1">IFERROR(__xludf.DUMMYFUNCTION("""COMPUTED_VALUE"""),"LUCIANI")</f>
        <v>LUCIANI</v>
      </c>
      <c r="D59" s="48" t="str">
        <f ca="1">IFERROR(__xludf.DUMMYFUNCTION("""COMPUTED_VALUE"""),"Ivo")</f>
        <v>Ivo</v>
      </c>
      <c r="E59" s="49" t="str">
        <f ca="1">IFERROR(__xludf.DUMMYFUNCTION("""COMPUTED_VALUE"""),"06680140")</f>
        <v>06680140</v>
      </c>
      <c r="F59" s="48" t="str">
        <f ca="1">IFERROR(__xludf.DUMMYFUNCTION("""COMPUTED_VALUE"""),"KEMBS TT")</f>
        <v>KEMBS TT</v>
      </c>
      <c r="G59" s="50" t="str">
        <f ca="1">IFERROR(__xludf.DUMMYFUNCTION("""COMPUTED_VALUE"""),"CD68")</f>
        <v>CD68</v>
      </c>
      <c r="H59" s="50" t="str">
        <f ca="1">IFERROR(__xludf.DUMMYFUNCTION("""COMPUTED_VALUE"""),"actif")</f>
        <v>actif</v>
      </c>
    </row>
    <row r="60" spans="1:8" ht="12.75">
      <c r="A60" s="46">
        <f ca="1">IFERROR(__xludf.DUMMYFUNCTION("""COMPUTED_VALUE"""),48)</f>
        <v>48</v>
      </c>
      <c r="B60" s="65" t="str">
        <f ca="1">IFERROR(__xludf.DUMMYFUNCTION("""COMPUTED_VALUE"""),"57415")</f>
        <v>57415</v>
      </c>
      <c r="C60" s="48" t="str">
        <f ca="1">IFERROR(__xludf.DUMMYFUNCTION("""COMPUTED_VALUE"""),"MALTRY")</f>
        <v>MALTRY</v>
      </c>
      <c r="D60" s="48" t="str">
        <f ca="1">IFERROR(__xludf.DUMMYFUNCTION("""COMPUTED_VALUE"""),"Julien")</f>
        <v>Julien</v>
      </c>
      <c r="E60" s="49" t="str">
        <f ca="1">IFERROR(__xludf.DUMMYFUNCTION("""COMPUTED_VALUE"""),"06570022")</f>
        <v>06570022</v>
      </c>
      <c r="F60" s="48" t="str">
        <f ca="1">IFERROR(__xludf.DUMMYFUNCTION("""COMPUTED_VALUE"""),"AS.Sarreguemines Tennis de Table")</f>
        <v>AS.Sarreguemines Tennis de Table</v>
      </c>
      <c r="G60" s="50" t="str">
        <f ca="1">IFERROR(__xludf.DUMMYFUNCTION("""COMPUTED_VALUE"""),"CD57")</f>
        <v>CD57</v>
      </c>
      <c r="H60" s="50" t="str">
        <f ca="1">IFERROR(__xludf.DUMMYFUNCTION("""COMPUTED_VALUE"""),"actif")</f>
        <v>actif</v>
      </c>
    </row>
    <row r="61" spans="1:8" ht="12.75">
      <c r="A61" s="46">
        <f ca="1">IFERROR(__xludf.DUMMYFUNCTION("""COMPUTED_VALUE"""),49)</f>
        <v>49</v>
      </c>
      <c r="B61" s="65" t="str">
        <f ca="1">IFERROR(__xludf.DUMMYFUNCTION("""COMPUTED_VALUE"""),"5716159")</f>
        <v>5716159</v>
      </c>
      <c r="C61" s="48" t="str">
        <f ca="1">IFERROR(__xludf.DUMMYFUNCTION("""COMPUTED_VALUE"""),"MATHIEU")</f>
        <v>MATHIEU</v>
      </c>
      <c r="D61" s="48" t="str">
        <f ca="1">IFERROR(__xludf.DUMMYFUNCTION("""COMPUTED_VALUE"""),"Sebastien")</f>
        <v>Sebastien</v>
      </c>
      <c r="E61" s="49" t="str">
        <f ca="1">IFERROR(__xludf.DUMMYFUNCTION("""COMPUTED_VALUE"""),"06510107")</f>
        <v>06510107</v>
      </c>
      <c r="F61" s="48" t="str">
        <f ca="1">IFERROR(__xludf.DUMMYFUNCTION("""COMPUTED_VALUE"""),"GUEUX TINQUEUX ASTT")</f>
        <v>GUEUX TINQUEUX ASTT</v>
      </c>
      <c r="G61" s="50" t="str">
        <f ca="1">IFERROR(__xludf.DUMMYFUNCTION("""COMPUTED_VALUE"""),"CD51")</f>
        <v>CD51</v>
      </c>
      <c r="H61" s="50" t="str">
        <f ca="1">IFERROR(__xludf.DUMMYFUNCTION("""COMPUTED_VALUE"""),"actif")</f>
        <v>actif</v>
      </c>
    </row>
    <row r="62" spans="1:8" ht="12.75">
      <c r="A62" s="46">
        <f ca="1">IFERROR(__xludf.DUMMYFUNCTION("""COMPUTED_VALUE"""),50)</f>
        <v>50</v>
      </c>
      <c r="B62" s="65" t="str">
        <f ca="1">IFERROR(__xludf.DUMMYFUNCTION("""COMPUTED_VALUE"""),"676275")</f>
        <v>676275</v>
      </c>
      <c r="C62" s="48" t="str">
        <f ca="1">IFERROR(__xludf.DUMMYFUNCTION("""COMPUTED_VALUE"""),"METZMEYER")</f>
        <v>METZMEYER</v>
      </c>
      <c r="D62" s="48" t="str">
        <f ca="1">IFERROR(__xludf.DUMMYFUNCTION("""COMPUTED_VALUE"""),"Jean")</f>
        <v>Jean</v>
      </c>
      <c r="E62" s="49" t="str">
        <f ca="1">IFERROR(__xludf.DUMMYFUNCTION("""COMPUTED_VALUE"""),"06670216")</f>
        <v>06670216</v>
      </c>
      <c r="F62" s="48" t="str">
        <f ca="1">IFERROR(__xludf.DUMMYFUNCTION("""COMPUTED_VALUE"""),"HOERDT T.T.")</f>
        <v>HOERDT T.T.</v>
      </c>
      <c r="G62" s="50" t="str">
        <f ca="1">IFERROR(__xludf.DUMMYFUNCTION("""COMPUTED_VALUE"""),"CD67")</f>
        <v>CD67</v>
      </c>
      <c r="H62" s="50" t="str">
        <f ca="1">IFERROR(__xludf.DUMMYFUNCTION("""COMPUTED_VALUE"""),"actif")</f>
        <v>actif</v>
      </c>
    </row>
    <row r="63" spans="1:8" ht="12.75">
      <c r="A63" s="46">
        <f ca="1">IFERROR(__xludf.DUMMYFUNCTION("""COMPUTED_VALUE"""),51)</f>
        <v>51</v>
      </c>
      <c r="B63" s="65" t="str">
        <f ca="1">IFERROR(__xludf.DUMMYFUNCTION("""COMPUTED_VALUE"""),"888428")</f>
        <v>888428</v>
      </c>
      <c r="C63" s="48" t="str">
        <f ca="1">IFERROR(__xludf.DUMMYFUNCTION("""COMPUTED_VALUE"""),"MEYERHOFF")</f>
        <v>MEYERHOFF</v>
      </c>
      <c r="D63" s="48" t="str">
        <f ca="1">IFERROR(__xludf.DUMMYFUNCTION("""COMPUTED_VALUE"""),"Willy")</f>
        <v>Willy</v>
      </c>
      <c r="E63" s="49" t="str">
        <f ca="1">IFERROR(__xludf.DUMMYFUNCTION("""COMPUTED_VALUE"""),"06880140")</f>
        <v>06880140</v>
      </c>
      <c r="F63" s="48" t="str">
        <f ca="1">IFERROR(__xludf.DUMMYFUNCTION("""COMPUTED_VALUE"""),"TENNIS DE TABLE THIAVILLE FR")</f>
        <v>TENNIS DE TABLE THIAVILLE FR</v>
      </c>
      <c r="G63" s="50" t="str">
        <f ca="1">IFERROR(__xludf.DUMMYFUNCTION("""COMPUTED_VALUE"""),"CD88")</f>
        <v>CD88</v>
      </c>
      <c r="H63" s="50" t="str">
        <f ca="1">IFERROR(__xludf.DUMMYFUNCTION("""COMPUTED_VALUE"""),"actif")</f>
        <v>actif</v>
      </c>
    </row>
    <row r="64" spans="1:8" ht="12.75">
      <c r="A64" s="46">
        <f ca="1">IFERROR(__xludf.DUMMYFUNCTION("""COMPUTED_VALUE"""),52)</f>
        <v>52</v>
      </c>
      <c r="B64" s="65" t="str">
        <f ca="1">IFERROR(__xludf.DUMMYFUNCTION("""COMPUTED_VALUE"""),"579059")</f>
        <v>579059</v>
      </c>
      <c r="C64" s="48" t="str">
        <f ca="1">IFERROR(__xludf.DUMMYFUNCTION("""COMPUTED_VALUE"""),"NOMINE")</f>
        <v>NOMINE</v>
      </c>
      <c r="D64" s="48" t="str">
        <f ca="1">IFERROR(__xludf.DUMMYFUNCTION("""COMPUTED_VALUE"""),"Francoise")</f>
        <v>Francoise</v>
      </c>
      <c r="E64" s="49" t="str">
        <f ca="1">IFERROR(__xludf.DUMMYFUNCTION("""COMPUTED_VALUE"""),"06570029")</f>
        <v>06570029</v>
      </c>
      <c r="F64" s="48" t="str">
        <f ca="1">IFERROR(__xludf.DUMMYFUNCTION("""COMPUTED_VALUE"""),"WILLERWALD A.S.")</f>
        <v>WILLERWALD A.S.</v>
      </c>
      <c r="G64" s="50" t="str">
        <f ca="1">IFERROR(__xludf.DUMMYFUNCTION("""COMPUTED_VALUE"""),"CD57")</f>
        <v>CD57</v>
      </c>
      <c r="H64" s="50" t="str">
        <f ca="1">IFERROR(__xludf.DUMMYFUNCTION("""COMPUTED_VALUE"""),"actif")</f>
        <v>actif</v>
      </c>
    </row>
    <row r="65" spans="1:8" ht="12.75">
      <c r="A65" s="46">
        <f ca="1">IFERROR(__xludf.DUMMYFUNCTION("""COMPUTED_VALUE"""),53)</f>
        <v>53</v>
      </c>
      <c r="B65" s="65" t="str">
        <f ca="1">IFERROR(__xludf.DUMMYFUNCTION("""COMPUTED_VALUE"""),"6715512")</f>
        <v>6715512</v>
      </c>
      <c r="C65" s="48" t="str">
        <f ca="1">IFERROR(__xludf.DUMMYFUNCTION("""COMPUTED_VALUE"""),"OFFNER")</f>
        <v>OFFNER</v>
      </c>
      <c r="D65" s="48" t="str">
        <f ca="1">IFERROR(__xludf.DUMMYFUNCTION("""COMPUTED_VALUE"""),"Marlise")</f>
        <v>Marlise</v>
      </c>
      <c r="E65" s="49" t="str">
        <f ca="1">IFERROR(__xludf.DUMMYFUNCTION("""COMPUTED_VALUE"""),"06670041")</f>
        <v>06670041</v>
      </c>
      <c r="F65" s="48" t="str">
        <f ca="1">IFERROR(__xludf.DUMMYFUNCTION("""COMPUTED_VALUE"""),"ZORN TT HOCHFELDEN")</f>
        <v>ZORN TT HOCHFELDEN</v>
      </c>
      <c r="G65" s="50" t="str">
        <f ca="1">IFERROR(__xludf.DUMMYFUNCTION("""COMPUTED_VALUE"""),"CD67")</f>
        <v>CD67</v>
      </c>
      <c r="H65" s="50" t="str">
        <f ca="1">IFERROR(__xludf.DUMMYFUNCTION("""COMPUTED_VALUE"""),"actif")</f>
        <v>actif</v>
      </c>
    </row>
    <row r="66" spans="1:8" ht="12.75">
      <c r="A66" s="46">
        <f ca="1">IFERROR(__xludf.DUMMYFUNCTION("""COMPUTED_VALUE"""),54)</f>
        <v>54</v>
      </c>
      <c r="B66" s="65" t="str">
        <f ca="1">IFERROR(__xludf.DUMMYFUNCTION("""COMPUTED_VALUE"""),"575247")</f>
        <v>575247</v>
      </c>
      <c r="C66" s="48" t="str">
        <f ca="1">IFERROR(__xludf.DUMMYFUNCTION("""COMPUTED_VALUE"""),"OMLOR")</f>
        <v>OMLOR</v>
      </c>
      <c r="D66" s="48" t="str">
        <f ca="1">IFERROR(__xludf.DUMMYFUNCTION("""COMPUTED_VALUE"""),"Aloyse")</f>
        <v>Aloyse</v>
      </c>
      <c r="E66" s="49" t="str">
        <f ca="1">IFERROR(__xludf.DUMMYFUNCTION("""COMPUTED_VALUE"""),"06570019")</f>
        <v>06570019</v>
      </c>
      <c r="F66" s="48" t="str">
        <f ca="1">IFERROR(__xludf.DUMMYFUNCTION("""COMPUTED_VALUE"""),"SAINT AVOLD C.T.T.")</f>
        <v>SAINT AVOLD C.T.T.</v>
      </c>
      <c r="G66" s="50" t="str">
        <f ca="1">IFERROR(__xludf.DUMMYFUNCTION("""COMPUTED_VALUE"""),"CD57")</f>
        <v>CD57</v>
      </c>
      <c r="H66" s="50" t="str">
        <f ca="1">IFERROR(__xludf.DUMMYFUNCTION("""COMPUTED_VALUE"""),"actif")</f>
        <v>actif</v>
      </c>
    </row>
    <row r="67" spans="1:8" ht="12.75">
      <c r="A67" s="46">
        <f ca="1">IFERROR(__xludf.DUMMYFUNCTION("""COMPUTED_VALUE"""),55)</f>
        <v>55</v>
      </c>
      <c r="B67" s="65" t="str">
        <f ca="1">IFERROR(__xludf.DUMMYFUNCTION("""COMPUTED_VALUE"""),"5415927")</f>
        <v>5415927</v>
      </c>
      <c r="C67" s="48" t="str">
        <f ca="1">IFERROR(__xludf.DUMMYFUNCTION("""COMPUTED_VALUE"""),"PELLI")</f>
        <v>PELLI</v>
      </c>
      <c r="D67" s="48" t="str">
        <f ca="1">IFERROR(__xludf.DUMMYFUNCTION("""COMPUTED_VALUE"""),"Christophe")</f>
        <v>Christophe</v>
      </c>
      <c r="E67" s="49" t="str">
        <f ca="1">IFERROR(__xludf.DUMMYFUNCTION("""COMPUTED_VALUE"""),"06540021")</f>
        <v>06540021</v>
      </c>
      <c r="F67" s="48" t="str">
        <f ca="1">IFERROR(__xludf.DUMMYFUNCTION("""COMPUTED_VALUE"""),"LUNEVILLE A.L.T.T.")</f>
        <v>LUNEVILLE A.L.T.T.</v>
      </c>
      <c r="G67" s="50" t="str">
        <f ca="1">IFERROR(__xludf.DUMMYFUNCTION("""COMPUTED_VALUE"""),"CD54")</f>
        <v>CD54</v>
      </c>
      <c r="H67" s="50" t="str">
        <f ca="1">IFERROR(__xludf.DUMMYFUNCTION("""COMPUTED_VALUE"""),"actif")</f>
        <v>actif</v>
      </c>
    </row>
    <row r="68" spans="1:8" ht="12.75">
      <c r="A68" s="46">
        <f ca="1">IFERROR(__xludf.DUMMYFUNCTION("""COMPUTED_VALUE"""),56)</f>
        <v>56</v>
      </c>
      <c r="B68" s="65" t="str">
        <f ca="1">IFERROR(__xludf.DUMMYFUNCTION("""COMPUTED_VALUE"""),"518390")</f>
        <v>518390</v>
      </c>
      <c r="C68" s="48" t="str">
        <f ca="1">IFERROR(__xludf.DUMMYFUNCTION("""COMPUTED_VALUE"""),"PERRON")</f>
        <v>PERRON</v>
      </c>
      <c r="D68" s="48" t="str">
        <f ca="1">IFERROR(__xludf.DUMMYFUNCTION("""COMPUTED_VALUE"""),"Alain")</f>
        <v>Alain</v>
      </c>
      <c r="E68" s="49" t="str">
        <f ca="1">IFERROR(__xludf.DUMMYFUNCTION("""COMPUTED_VALUE"""),"06510019")</f>
        <v>06510019</v>
      </c>
      <c r="F68" s="48" t="str">
        <f ca="1">IFERROR(__xludf.DUMMYFUNCTION("""COMPUTED_VALUE"""),"TAISSY ASTT")</f>
        <v>TAISSY ASTT</v>
      </c>
      <c r="G68" s="50" t="str">
        <f ca="1">IFERROR(__xludf.DUMMYFUNCTION("""COMPUTED_VALUE"""),"CD51")</f>
        <v>CD51</v>
      </c>
      <c r="H68" s="50" t="str">
        <f ca="1">IFERROR(__xludf.DUMMYFUNCTION("""COMPUTED_VALUE"""),"actif")</f>
        <v>actif</v>
      </c>
    </row>
    <row r="69" spans="1:8" ht="12.75">
      <c r="A69" s="46">
        <f ca="1">IFERROR(__xludf.DUMMYFUNCTION("""COMPUTED_VALUE"""),57)</f>
        <v>57</v>
      </c>
      <c r="B69" s="65" t="str">
        <f ca="1">IFERROR(__xludf.DUMMYFUNCTION("""COMPUTED_VALUE"""),"5713735")</f>
        <v>5713735</v>
      </c>
      <c r="C69" s="48" t="str">
        <f ca="1">IFERROR(__xludf.DUMMYFUNCTION("""COMPUTED_VALUE"""),"PETER")</f>
        <v>PETER</v>
      </c>
      <c r="D69" s="48" t="str">
        <f ca="1">IFERROR(__xludf.DUMMYFUNCTION("""COMPUTED_VALUE"""),"Gaetan")</f>
        <v>Gaetan</v>
      </c>
      <c r="E69" s="49" t="str">
        <f ca="1">IFERROR(__xludf.DUMMYFUNCTION("""COMPUTED_VALUE"""),"06570014")</f>
        <v>06570014</v>
      </c>
      <c r="F69" s="48" t="str">
        <f ca="1">IFERROR(__xludf.DUMMYFUNCTION("""COMPUTED_VALUE"""),"MANOM J.S.")</f>
        <v>MANOM J.S.</v>
      </c>
      <c r="G69" s="50" t="str">
        <f ca="1">IFERROR(__xludf.DUMMYFUNCTION("""COMPUTED_VALUE"""),"CD57")</f>
        <v>CD57</v>
      </c>
      <c r="H69" s="50" t="str">
        <f ca="1">IFERROR(__xludf.DUMMYFUNCTION("""COMPUTED_VALUE"""),"actif")</f>
        <v>actif</v>
      </c>
    </row>
    <row r="70" spans="1:8" ht="12.75">
      <c r="A70" s="46">
        <f ca="1">IFERROR(__xludf.DUMMYFUNCTION("""COMPUTED_VALUE"""),58)</f>
        <v>58</v>
      </c>
      <c r="B70" s="65" t="str">
        <f ca="1">IFERROR(__xludf.DUMMYFUNCTION("""COMPUTED_VALUE"""),"5420965")</f>
        <v>5420965</v>
      </c>
      <c r="C70" s="48" t="str">
        <f ca="1">IFERROR(__xludf.DUMMYFUNCTION("""COMPUTED_VALUE"""),"PIERRE")</f>
        <v>PIERRE</v>
      </c>
      <c r="D70" s="48" t="str">
        <f ca="1">IFERROR(__xludf.DUMMYFUNCTION("""COMPUTED_VALUE"""),"Frederic")</f>
        <v>Frederic</v>
      </c>
      <c r="E70" s="49" t="str">
        <f ca="1">IFERROR(__xludf.DUMMYFUNCTION("""COMPUTED_VALUE"""),"06540036")</f>
        <v>06540036</v>
      </c>
      <c r="F70" s="48" t="str">
        <f ca="1">IFERROR(__xludf.DUMMYFUNCTION("""COMPUTED_VALUE"""),"TOUL ECROUVES ASCTT")</f>
        <v>TOUL ECROUVES ASCTT</v>
      </c>
      <c r="G70" s="50" t="str">
        <f ca="1">IFERROR(__xludf.DUMMYFUNCTION("""COMPUTED_VALUE"""),"CD54")</f>
        <v>CD54</v>
      </c>
      <c r="H70" s="50" t="str">
        <f ca="1">IFERROR(__xludf.DUMMYFUNCTION("""COMPUTED_VALUE"""),"actif")</f>
        <v>actif</v>
      </c>
    </row>
    <row r="71" spans="1:8" ht="12.75">
      <c r="A71" s="46">
        <f ca="1">IFERROR(__xludf.DUMMYFUNCTION("""COMPUTED_VALUE"""),59)</f>
        <v>59</v>
      </c>
      <c r="B71" s="65" t="str">
        <f ca="1">IFERROR(__xludf.DUMMYFUNCTION("""COMPUTED_VALUE"""),"089656")</f>
        <v>089656</v>
      </c>
      <c r="C71" s="48" t="str">
        <f ca="1">IFERROR(__xludf.DUMMYFUNCTION("""COMPUTED_VALUE"""),"PINAS")</f>
        <v>PINAS</v>
      </c>
      <c r="D71" s="48" t="str">
        <f ca="1">IFERROR(__xludf.DUMMYFUNCTION("""COMPUTED_VALUE"""),"Nicolas")</f>
        <v>Nicolas</v>
      </c>
      <c r="E71" s="49" t="str">
        <f ca="1">IFERROR(__xludf.DUMMYFUNCTION("""COMPUTED_VALUE"""),"06080082")</f>
        <v>06080082</v>
      </c>
      <c r="F71" s="48" t="str">
        <f ca="1">IFERROR(__xludf.DUMMYFUNCTION("""COMPUTED_VALUE"""),"GLAIRE ASTT")</f>
        <v>GLAIRE ASTT</v>
      </c>
      <c r="G71" s="50" t="str">
        <f ca="1">IFERROR(__xludf.DUMMYFUNCTION("""COMPUTED_VALUE"""),"CD08")</f>
        <v>CD08</v>
      </c>
      <c r="H71" s="50" t="str">
        <f ca="1">IFERROR(__xludf.DUMMYFUNCTION("""COMPUTED_VALUE"""),"actif")</f>
        <v>actif</v>
      </c>
    </row>
    <row r="72" spans="1:8" ht="12.75">
      <c r="A72" s="46">
        <f ca="1">IFERROR(__xludf.DUMMYFUNCTION("""COMPUTED_VALUE"""),60)</f>
        <v>60</v>
      </c>
      <c r="B72" s="65" t="str">
        <f ca="1">IFERROR(__xludf.DUMMYFUNCTION("""COMPUTED_VALUE"""),"5111871")</f>
        <v>5111871</v>
      </c>
      <c r="C72" s="48" t="str">
        <f ca="1">IFERROR(__xludf.DUMMYFUNCTION("""COMPUTED_VALUE"""),"PRIEUX")</f>
        <v>PRIEUX</v>
      </c>
      <c r="D72" s="48" t="str">
        <f ca="1">IFERROR(__xludf.DUMMYFUNCTION("""COMPUTED_VALUE"""),"Maxime")</f>
        <v>Maxime</v>
      </c>
      <c r="E72" s="49" t="str">
        <f ca="1">IFERROR(__xludf.DUMMYFUNCTION("""COMPUTED_VALUE"""),"06510054")</f>
        <v>06510054</v>
      </c>
      <c r="F72" s="48" t="str">
        <f ca="1">IFERROR(__xludf.DUMMYFUNCTION("""COMPUTED_VALUE"""),"COMPERTRIX FTT")</f>
        <v>COMPERTRIX FTT</v>
      </c>
      <c r="G72" s="50" t="str">
        <f ca="1">IFERROR(__xludf.DUMMYFUNCTION("""COMPUTED_VALUE"""),"CD51")</f>
        <v>CD51</v>
      </c>
      <c r="H72" s="50" t="str">
        <f ca="1">IFERROR(__xludf.DUMMYFUNCTION("""COMPUTED_VALUE"""),"actif")</f>
        <v>actif</v>
      </c>
    </row>
    <row r="73" spans="1:8" ht="12.75">
      <c r="A73" s="46">
        <f ca="1">IFERROR(__xludf.DUMMYFUNCTION("""COMPUTED_VALUE"""),61)</f>
        <v>61</v>
      </c>
      <c r="B73" s="65" t="str">
        <f ca="1">IFERROR(__xludf.DUMMYFUNCTION("""COMPUTED_VALUE"""),"6815002")</f>
        <v>6815002</v>
      </c>
      <c r="C73" s="48" t="str">
        <f ca="1">IFERROR(__xludf.DUMMYFUNCTION("""COMPUTED_VALUE"""),"PROST")</f>
        <v>PROST</v>
      </c>
      <c r="D73" s="48" t="str">
        <f ca="1">IFERROR(__xludf.DUMMYFUNCTION("""COMPUTED_VALUE"""),"Adriana")</f>
        <v>Adriana</v>
      </c>
      <c r="E73" s="49" t="str">
        <f ca="1">IFERROR(__xludf.DUMMYFUNCTION("""COMPUTED_VALUE"""),"06680091")</f>
        <v>06680091</v>
      </c>
      <c r="F73" s="48" t="str">
        <f ca="1">IFERROR(__xludf.DUMMYFUNCTION("""COMPUTED_VALUE"""),"ILLZACH TTSJB")</f>
        <v>ILLZACH TTSJB</v>
      </c>
      <c r="G73" s="50" t="str">
        <f ca="1">IFERROR(__xludf.DUMMYFUNCTION("""COMPUTED_VALUE"""),"CD68")</f>
        <v>CD68</v>
      </c>
      <c r="H73" s="50" t="str">
        <f ca="1">IFERROR(__xludf.DUMMYFUNCTION("""COMPUTED_VALUE"""),"actif")</f>
        <v>actif</v>
      </c>
    </row>
    <row r="74" spans="1:8" ht="12.75">
      <c r="A74" s="46">
        <f ca="1">IFERROR(__xludf.DUMMYFUNCTION("""COMPUTED_VALUE"""),62)</f>
        <v>62</v>
      </c>
      <c r="B74" s="65" t="str">
        <f ca="1">IFERROR(__xludf.DUMMYFUNCTION("""COMPUTED_VALUE"""),"549708")</f>
        <v>549708</v>
      </c>
      <c r="C74" s="48" t="str">
        <f ca="1">IFERROR(__xludf.DUMMYFUNCTION("""COMPUTED_VALUE"""),"REFF")</f>
        <v>REFF</v>
      </c>
      <c r="D74" s="48" t="str">
        <f ca="1">IFERROR(__xludf.DUMMYFUNCTION("""COMPUTED_VALUE"""),"Jean Claude")</f>
        <v>Jean Claude</v>
      </c>
      <c r="E74" s="49" t="str">
        <f ca="1">IFERROR(__xludf.DUMMYFUNCTION("""COMPUTED_VALUE"""),"06540055")</f>
        <v>06540055</v>
      </c>
      <c r="F74" s="48" t="str">
        <f ca="1">IFERROR(__xludf.DUMMYFUNCTION("""COMPUTED_VALUE"""),"LAY SAINT CHRISTOPHE TTLSC")</f>
        <v>LAY SAINT CHRISTOPHE TTLSC</v>
      </c>
      <c r="G74" s="50" t="str">
        <f ca="1">IFERROR(__xludf.DUMMYFUNCTION("""COMPUTED_VALUE"""),"CD54")</f>
        <v>CD54</v>
      </c>
      <c r="H74" s="50" t="str">
        <f ca="1">IFERROR(__xludf.DUMMYFUNCTION("""COMPUTED_VALUE"""),"actif")</f>
        <v>actif</v>
      </c>
    </row>
    <row r="75" spans="1:8" ht="12.75">
      <c r="A75" s="46">
        <f ca="1">IFERROR(__xludf.DUMMYFUNCTION("""COMPUTED_VALUE"""),63)</f>
        <v>63</v>
      </c>
      <c r="B75" s="65" t="str">
        <f ca="1">IFERROR(__xludf.DUMMYFUNCTION("""COMPUTED_VALUE"""),"513441")</f>
        <v>513441</v>
      </c>
      <c r="C75" s="48" t="str">
        <f ca="1">IFERROR(__xludf.DUMMYFUNCTION("""COMPUTED_VALUE"""),"RENAUX")</f>
        <v>RENAUX</v>
      </c>
      <c r="D75" s="48" t="str">
        <f ca="1">IFERROR(__xludf.DUMMYFUNCTION("""COMPUTED_VALUE"""),"Regine")</f>
        <v>Regine</v>
      </c>
      <c r="E75" s="49" t="str">
        <f ca="1">IFERROR(__xludf.DUMMYFUNCTION("""COMPUTED_VALUE"""),"06510019")</f>
        <v>06510019</v>
      </c>
      <c r="F75" s="48" t="str">
        <f ca="1">IFERROR(__xludf.DUMMYFUNCTION("""COMPUTED_VALUE"""),"TAISSY ASTT")</f>
        <v>TAISSY ASTT</v>
      </c>
      <c r="G75" s="50" t="str">
        <f ca="1">IFERROR(__xludf.DUMMYFUNCTION("""COMPUTED_VALUE"""),"CD51")</f>
        <v>CD51</v>
      </c>
      <c r="H75" s="50" t="str">
        <f ca="1">IFERROR(__xludf.DUMMYFUNCTION("""COMPUTED_VALUE"""),"actif")</f>
        <v>actif</v>
      </c>
    </row>
    <row r="76" spans="1:8" ht="12.75">
      <c r="A76" s="46">
        <f ca="1">IFERROR(__xludf.DUMMYFUNCTION("""COMPUTED_VALUE"""),64)</f>
        <v>64</v>
      </c>
      <c r="B76" s="65" t="str">
        <f ca="1">IFERROR(__xludf.DUMMYFUNCTION("""COMPUTED_VALUE"""),"52294")</f>
        <v>52294</v>
      </c>
      <c r="C76" s="48" t="str">
        <f ca="1">IFERROR(__xludf.DUMMYFUNCTION("""COMPUTED_VALUE"""),"ROUSSEL")</f>
        <v>ROUSSEL</v>
      </c>
      <c r="D76" s="48" t="str">
        <f ca="1">IFERROR(__xludf.DUMMYFUNCTION("""COMPUTED_VALUE"""),"Bruno")</f>
        <v>Bruno</v>
      </c>
      <c r="E76" s="49" t="str">
        <f ca="1">IFERROR(__xludf.DUMMYFUNCTION("""COMPUTED_VALUE"""),"06520054")</f>
        <v>06520054</v>
      </c>
      <c r="F76" s="48" t="str">
        <f ca="1">IFERROR(__xludf.DUMMYFUNCTION("""COMPUTED_VALUE"""),"NOGENT ASNTT")</f>
        <v>NOGENT ASNTT</v>
      </c>
      <c r="G76" s="50" t="str">
        <f ca="1">IFERROR(__xludf.DUMMYFUNCTION("""COMPUTED_VALUE"""),"CD52")</f>
        <v>CD52</v>
      </c>
      <c r="H76" s="50" t="str">
        <f ca="1">IFERROR(__xludf.DUMMYFUNCTION("""COMPUTED_VALUE"""),"actif")</f>
        <v>actif</v>
      </c>
    </row>
    <row r="77" spans="1:8" ht="12.75">
      <c r="A77" s="46">
        <f ca="1">IFERROR(__xludf.DUMMYFUNCTION("""COMPUTED_VALUE"""),65)</f>
        <v>65</v>
      </c>
      <c r="B77" s="65" t="str">
        <f ca="1">IFERROR(__xludf.DUMMYFUNCTION("""COMPUTED_VALUE"""),"517687")</f>
        <v>517687</v>
      </c>
      <c r="C77" s="48" t="str">
        <f ca="1">IFERROR(__xludf.DUMMYFUNCTION("""COMPUTED_VALUE"""),"SALOMON")</f>
        <v>SALOMON</v>
      </c>
      <c r="D77" s="48" t="str">
        <f ca="1">IFERROR(__xludf.DUMMYFUNCTION("""COMPUTED_VALUE"""),"Thierry")</f>
        <v>Thierry</v>
      </c>
      <c r="E77" s="49" t="str">
        <f ca="1">IFERROR(__xludf.DUMMYFUNCTION("""COMPUTED_VALUE"""),"06510001")</f>
        <v>06510001</v>
      </c>
      <c r="F77" s="48" t="str">
        <f ca="1">IFERROR(__xludf.DUMMYFUNCTION("""COMPUTED_VALUE"""),"REIMS OLYMPIQUE TT")</f>
        <v>REIMS OLYMPIQUE TT</v>
      </c>
      <c r="G77" s="50" t="str">
        <f ca="1">IFERROR(__xludf.DUMMYFUNCTION("""COMPUTED_VALUE"""),"CD51")</f>
        <v>CD51</v>
      </c>
      <c r="H77" s="50" t="str">
        <f ca="1">IFERROR(__xludf.DUMMYFUNCTION("""COMPUTED_VALUE"""),"actif")</f>
        <v>actif</v>
      </c>
    </row>
    <row r="78" spans="1:8" ht="12.75">
      <c r="A78" s="46">
        <f ca="1">IFERROR(__xludf.DUMMYFUNCTION("""COMPUTED_VALUE"""),66)</f>
        <v>66</v>
      </c>
      <c r="B78" s="65" t="str">
        <f ca="1">IFERROR(__xludf.DUMMYFUNCTION("""COMPUTED_VALUE"""),"514760")</f>
        <v>514760</v>
      </c>
      <c r="C78" s="48" t="str">
        <f ca="1">IFERROR(__xludf.DUMMYFUNCTION("""COMPUTED_VALUE"""),"SCHUER")</f>
        <v>SCHUER</v>
      </c>
      <c r="D78" s="48" t="str">
        <f ca="1">IFERROR(__xludf.DUMMYFUNCTION("""COMPUTED_VALUE"""),"Cyril")</f>
        <v>Cyril</v>
      </c>
      <c r="E78" s="49" t="str">
        <f ca="1">IFERROR(__xludf.DUMMYFUNCTION("""COMPUTED_VALUE"""),"06510018")</f>
        <v>06510018</v>
      </c>
      <c r="F78" s="48" t="str">
        <f ca="1">IFERROR(__xludf.DUMMYFUNCTION("""COMPUTED_VALUE"""),"REIMS ASPTT")</f>
        <v>REIMS ASPTT</v>
      </c>
      <c r="G78" s="50" t="str">
        <f ca="1">IFERROR(__xludf.DUMMYFUNCTION("""COMPUTED_VALUE"""),"CD51")</f>
        <v>CD51</v>
      </c>
      <c r="H78" s="50" t="str">
        <f ca="1">IFERROR(__xludf.DUMMYFUNCTION("""COMPUTED_VALUE"""),"actif")</f>
        <v>actif</v>
      </c>
    </row>
    <row r="79" spans="1:8" ht="12.75">
      <c r="A79" s="46">
        <f ca="1">IFERROR(__xludf.DUMMYFUNCTION("""COMPUTED_VALUE"""),67)</f>
        <v>67</v>
      </c>
      <c r="B79" s="65" t="str">
        <f ca="1">IFERROR(__xludf.DUMMYFUNCTION("""COMPUTED_VALUE"""),"5434011")</f>
        <v>5434011</v>
      </c>
      <c r="C79" s="48" t="str">
        <f ca="1">IFERROR(__xludf.DUMMYFUNCTION("""COMPUTED_VALUE"""),"SMOLARECK")</f>
        <v>SMOLARECK</v>
      </c>
      <c r="D79" s="48" t="str">
        <f ca="1">IFERROR(__xludf.DUMMYFUNCTION("""COMPUTED_VALUE"""),"Marie Claire")</f>
        <v>Marie Claire</v>
      </c>
      <c r="E79" s="49" t="str">
        <f ca="1">IFERROR(__xludf.DUMMYFUNCTION("""COMPUTED_VALUE"""),"06540020")</f>
        <v>06540020</v>
      </c>
      <c r="F79" s="48" t="str">
        <f ca="1">IFERROR(__xludf.DUMMYFUNCTION("""COMPUTED_VALUE"""),"DOMBASLE STT")</f>
        <v>DOMBASLE STT</v>
      </c>
      <c r="G79" s="50" t="str">
        <f ca="1">IFERROR(__xludf.DUMMYFUNCTION("""COMPUTED_VALUE"""),"CD54")</f>
        <v>CD54</v>
      </c>
      <c r="H79" s="50" t="str">
        <f ca="1">IFERROR(__xludf.DUMMYFUNCTION("""COMPUTED_VALUE"""),"actif")</f>
        <v>actif</v>
      </c>
    </row>
    <row r="80" spans="1:8" ht="12.75">
      <c r="A80" s="46">
        <f ca="1">IFERROR(__xludf.DUMMYFUNCTION("""COMPUTED_VALUE"""),68)</f>
        <v>68</v>
      </c>
      <c r="B80" s="65" t="str">
        <f ca="1">IFERROR(__xludf.DUMMYFUNCTION("""COMPUTED_VALUE"""),"08253")</f>
        <v>08253</v>
      </c>
      <c r="C80" s="48" t="str">
        <f ca="1">IFERROR(__xludf.DUMMYFUNCTION("""COMPUTED_VALUE"""),"SOILOT")</f>
        <v>SOILOT</v>
      </c>
      <c r="D80" s="48" t="str">
        <f ca="1">IFERROR(__xludf.DUMMYFUNCTION("""COMPUTED_VALUE"""),"Patrick")</f>
        <v>Patrick</v>
      </c>
      <c r="E80" s="49" t="str">
        <f ca="1">IFERROR(__xludf.DUMMYFUNCTION("""COMPUTED_VALUE"""),"06080035")</f>
        <v>06080035</v>
      </c>
      <c r="F80" s="48" t="str">
        <f ca="1">IFERROR(__xludf.DUMMYFUNCTION("""COMPUTED_VALUE"""),"CHARLEVILLE MEZIERES ARDENNES TT")</f>
        <v>CHARLEVILLE MEZIERES ARDENNES TT</v>
      </c>
      <c r="G80" s="50" t="str">
        <f ca="1">IFERROR(__xludf.DUMMYFUNCTION("""COMPUTED_VALUE"""),"CD08")</f>
        <v>CD08</v>
      </c>
      <c r="H80" s="50" t="str">
        <f ca="1">IFERROR(__xludf.DUMMYFUNCTION("""COMPUTED_VALUE"""),"actif")</f>
        <v>actif</v>
      </c>
    </row>
    <row r="81" spans="1:8" ht="12.75">
      <c r="A81" s="46">
        <f ca="1">IFERROR(__xludf.DUMMYFUNCTION("""COMPUTED_VALUE"""),69)</f>
        <v>69</v>
      </c>
      <c r="B81" s="65" t="str">
        <f ca="1">IFERROR(__xludf.DUMMYFUNCTION("""COMPUTED_VALUE"""),"674850")</f>
        <v>674850</v>
      </c>
      <c r="C81" s="48" t="str">
        <f ca="1">IFERROR(__xludf.DUMMYFUNCTION("""COMPUTED_VALUE"""),"SPERANDIO")</f>
        <v>SPERANDIO</v>
      </c>
      <c r="D81" s="48" t="str">
        <f ca="1">IFERROR(__xludf.DUMMYFUNCTION("""COMPUTED_VALUE"""),"Louis")</f>
        <v>Louis</v>
      </c>
      <c r="E81" s="49" t="str">
        <f ca="1">IFERROR(__xludf.DUMMYFUNCTION("""COMPUTED_VALUE"""),"06670261")</f>
        <v>06670261</v>
      </c>
      <c r="F81" s="48" t="str">
        <f ca="1">IFERROR(__xludf.DUMMYFUNCTION("""COMPUTED_VALUE"""),"Avenir KOCHERSBERG TT")</f>
        <v>Avenir KOCHERSBERG TT</v>
      </c>
      <c r="G81" s="50" t="str">
        <f ca="1">IFERROR(__xludf.DUMMYFUNCTION("""COMPUTED_VALUE"""),"CD67")</f>
        <v>CD67</v>
      </c>
      <c r="H81" s="50" t="str">
        <f ca="1">IFERROR(__xludf.DUMMYFUNCTION("""COMPUTED_VALUE"""),"actif")</f>
        <v>actif</v>
      </c>
    </row>
    <row r="82" spans="1:8" ht="12.75">
      <c r="A82" s="46">
        <f ca="1">IFERROR(__xludf.DUMMYFUNCTION("""COMPUTED_VALUE"""),70)</f>
        <v>70</v>
      </c>
      <c r="B82" s="65" t="str">
        <f ca="1">IFERROR(__xludf.DUMMYFUNCTION("""COMPUTED_VALUE"""),"6724878")</f>
        <v>6724878</v>
      </c>
      <c r="C82" s="48" t="str">
        <f ca="1">IFERROR(__xludf.DUMMYFUNCTION("""COMPUTED_VALUE"""),"STEPHAN")</f>
        <v>STEPHAN</v>
      </c>
      <c r="D82" s="48" t="str">
        <f ca="1">IFERROR(__xludf.DUMMYFUNCTION("""COMPUTED_VALUE"""),"Aline")</f>
        <v>Aline</v>
      </c>
      <c r="E82" s="49" t="str">
        <f ca="1">IFERROR(__xludf.DUMMYFUNCTION("""COMPUTED_VALUE"""),"06670045")</f>
        <v>06670045</v>
      </c>
      <c r="F82" s="48" t="str">
        <f ca="1">IFERROR(__xludf.DUMMYFUNCTION("""COMPUTED_VALUE"""),"STRASBOURG RC")</f>
        <v>STRASBOURG RC</v>
      </c>
      <c r="G82" s="50" t="str">
        <f ca="1">IFERROR(__xludf.DUMMYFUNCTION("""COMPUTED_VALUE"""),"CD67")</f>
        <v>CD67</v>
      </c>
      <c r="H82" s="50" t="str">
        <f ca="1">IFERROR(__xludf.DUMMYFUNCTION("""COMPUTED_VALUE"""),"actif")</f>
        <v>actif</v>
      </c>
    </row>
    <row r="83" spans="1:8" ht="12.75">
      <c r="A83" s="46">
        <f ca="1">IFERROR(__xludf.DUMMYFUNCTION("""COMPUTED_VALUE"""),71)</f>
        <v>71</v>
      </c>
      <c r="B83" s="65" t="str">
        <f ca="1">IFERROR(__xludf.DUMMYFUNCTION("""COMPUTED_VALUE"""),"884968")</f>
        <v>884968</v>
      </c>
      <c r="C83" s="48" t="str">
        <f ca="1">IFERROR(__xludf.DUMMYFUNCTION("""COMPUTED_VALUE"""),"THIRION")</f>
        <v>THIRION</v>
      </c>
      <c r="D83" s="48" t="str">
        <f ca="1">IFERROR(__xludf.DUMMYFUNCTION("""COMPUTED_VALUE"""),"Helene")</f>
        <v>Helene</v>
      </c>
      <c r="E83" s="49" t="str">
        <f ca="1">IFERROR(__xludf.DUMMYFUNCTION("""COMPUTED_VALUE"""),"06880051")</f>
        <v>06880051</v>
      </c>
      <c r="F83" s="48" t="str">
        <f ca="1">IFERROR(__xludf.DUMMYFUNCTION("""COMPUTED_VALUE"""),"Raquette Golbéenne")</f>
        <v>Raquette Golbéenne</v>
      </c>
      <c r="G83" s="50" t="str">
        <f ca="1">IFERROR(__xludf.DUMMYFUNCTION("""COMPUTED_VALUE"""),"CD88")</f>
        <v>CD88</v>
      </c>
      <c r="H83" s="50" t="str">
        <f ca="1">IFERROR(__xludf.DUMMYFUNCTION("""COMPUTED_VALUE"""),"actif")</f>
        <v>actif</v>
      </c>
    </row>
    <row r="84" spans="1:8" ht="12.75">
      <c r="A84" s="46">
        <f ca="1">IFERROR(__xludf.DUMMYFUNCTION("""COMPUTED_VALUE"""),72)</f>
        <v>72</v>
      </c>
      <c r="B84" s="65" t="str">
        <f ca="1">IFERROR(__xludf.DUMMYFUNCTION("""COMPUTED_VALUE"""),"557258")</f>
        <v>557258</v>
      </c>
      <c r="C84" s="48" t="str">
        <f ca="1">IFERROR(__xludf.DUMMYFUNCTION("""COMPUTED_VALUE"""),"VANTOURS")</f>
        <v>VANTOURS</v>
      </c>
      <c r="D84" s="48" t="str">
        <f ca="1">IFERROR(__xludf.DUMMYFUNCTION("""COMPUTED_VALUE"""),"Steven")</f>
        <v>Steven</v>
      </c>
      <c r="E84" s="49" t="str">
        <f ca="1">IFERROR(__xludf.DUMMYFUNCTION("""COMPUTED_VALUE"""),"06550058")</f>
        <v>06550058</v>
      </c>
      <c r="F84" s="48" t="str">
        <f ca="1">IFERROR(__xludf.DUMMYFUNCTION("""COMPUTED_VALUE"""),"Les Loups de DAMVILLERS ASTT ")</f>
        <v xml:space="preserve">Les Loups de DAMVILLERS ASTT </v>
      </c>
      <c r="G84" s="50" t="str">
        <f ca="1">IFERROR(__xludf.DUMMYFUNCTION("""COMPUTED_VALUE"""),"CD55")</f>
        <v>CD55</v>
      </c>
      <c r="H84" s="50" t="str">
        <f ca="1">IFERROR(__xludf.DUMMYFUNCTION("""COMPUTED_VALUE"""),"actif")</f>
        <v>actif</v>
      </c>
    </row>
    <row r="85" spans="1:8" ht="12.75">
      <c r="A85" s="46">
        <f ca="1">IFERROR(__xludf.DUMMYFUNCTION("""COMPUTED_VALUE"""),73)</f>
        <v>73</v>
      </c>
      <c r="B85" s="65" t="str">
        <f ca="1">IFERROR(__xludf.DUMMYFUNCTION("""COMPUTED_VALUE"""),"67554")</f>
        <v>67554</v>
      </c>
      <c r="C85" s="48" t="str">
        <f ca="1">IFERROR(__xludf.DUMMYFUNCTION("""COMPUTED_VALUE"""),"VEJUX")</f>
        <v>VEJUX</v>
      </c>
      <c r="D85" s="48" t="str">
        <f ca="1">IFERROR(__xludf.DUMMYFUNCTION("""COMPUTED_VALUE"""),"Nicolas")</f>
        <v>Nicolas</v>
      </c>
      <c r="E85" s="49" t="str">
        <f ca="1">IFERROR(__xludf.DUMMYFUNCTION("""COMPUTED_VALUE"""),"06670045")</f>
        <v>06670045</v>
      </c>
      <c r="F85" s="48" t="str">
        <f ca="1">IFERROR(__xludf.DUMMYFUNCTION("""COMPUTED_VALUE"""),"STRASBOURG RC")</f>
        <v>STRASBOURG RC</v>
      </c>
      <c r="G85" s="50" t="str">
        <f ca="1">IFERROR(__xludf.DUMMYFUNCTION("""COMPUTED_VALUE"""),"CD67")</f>
        <v>CD67</v>
      </c>
      <c r="H85" s="50" t="str">
        <f ca="1">IFERROR(__xludf.DUMMYFUNCTION("""COMPUTED_VALUE"""),"actif")</f>
        <v>actif</v>
      </c>
    </row>
    <row r="86" spans="1:8" ht="12.75">
      <c r="A86" s="46">
        <f ca="1">IFERROR(__xludf.DUMMYFUNCTION("""COMPUTED_VALUE"""),74)</f>
        <v>74</v>
      </c>
      <c r="B86" s="65" t="str">
        <f ca="1">IFERROR(__xludf.DUMMYFUNCTION("""COMPUTED_VALUE"""),"8860")</f>
        <v>8860</v>
      </c>
      <c r="C86" s="48" t="str">
        <f ca="1">IFERROR(__xludf.DUMMYFUNCTION("""COMPUTED_VALUE"""),"VOYEN")</f>
        <v>VOYEN</v>
      </c>
      <c r="D86" s="48" t="str">
        <f ca="1">IFERROR(__xludf.DUMMYFUNCTION("""COMPUTED_VALUE"""),"Jean Pierre")</f>
        <v>Jean Pierre</v>
      </c>
      <c r="E86" s="49" t="str">
        <f ca="1">IFERROR(__xludf.DUMMYFUNCTION("""COMPUTED_VALUE"""),"06880002")</f>
        <v>06880002</v>
      </c>
      <c r="F86" s="48" t="str">
        <f ca="1">IFERROR(__xludf.DUMMYFUNCTION("""COMPUTED_VALUE"""),"ANOULD Cercle Pongiste")</f>
        <v>ANOULD Cercle Pongiste</v>
      </c>
      <c r="G86" s="50" t="str">
        <f ca="1">IFERROR(__xludf.DUMMYFUNCTION("""COMPUTED_VALUE"""),"CD88")</f>
        <v>CD88</v>
      </c>
      <c r="H86" s="50" t="str">
        <f ca="1">IFERROR(__xludf.DUMMYFUNCTION("""COMPUTED_VALUE"""),"actif")</f>
        <v>actif</v>
      </c>
    </row>
    <row r="87" spans="1:8" ht="12.75">
      <c r="A87" s="46" t="str">
        <f ca="1">IFERROR(__xludf.DUMMYFUNCTION("""COMPUTED_VALUE"""),"")</f>
        <v/>
      </c>
      <c r="B87" s="65"/>
      <c r="C87" s="48" t="str">
        <f ca="1">IFERROR(__xludf.DUMMYFUNCTION("""COMPUTED_VALUE"""),"")</f>
        <v/>
      </c>
      <c r="D87" s="48" t="str">
        <f ca="1">IFERROR(__xludf.DUMMYFUNCTION("""COMPUTED_VALUE"""),"")</f>
        <v/>
      </c>
      <c r="E87" s="49" t="str">
        <f ca="1">IFERROR(__xludf.DUMMYFUNCTION("""COMPUTED_VALUE"""),"")</f>
        <v/>
      </c>
      <c r="F87" s="48" t="str">
        <f ca="1">IFERROR(__xludf.DUMMYFUNCTION("""COMPUTED_VALUE"""),"")</f>
        <v/>
      </c>
      <c r="G87" s="50" t="str">
        <f ca="1">IFERROR(__xludf.DUMMYFUNCTION("""COMPUTED_VALUE"""),"")</f>
        <v/>
      </c>
      <c r="H87" s="50" t="str">
        <f ca="1">IFERROR(__xludf.DUMMYFUNCTION("""COMPUTED_VALUE"""),"")</f>
        <v/>
      </c>
    </row>
    <row r="88" spans="1:8" ht="12.75">
      <c r="A88" s="46" t="str">
        <f ca="1">IFERROR(__xludf.DUMMYFUNCTION("""COMPUTED_VALUE"""),"")</f>
        <v/>
      </c>
      <c r="B88" s="65"/>
      <c r="C88" s="48" t="str">
        <f ca="1">IFERROR(__xludf.DUMMYFUNCTION("""COMPUTED_VALUE"""),"")</f>
        <v/>
      </c>
      <c r="D88" s="48" t="str">
        <f ca="1">IFERROR(__xludf.DUMMYFUNCTION("""COMPUTED_VALUE"""),"")</f>
        <v/>
      </c>
      <c r="E88" s="49" t="str">
        <f ca="1">IFERROR(__xludf.DUMMYFUNCTION("""COMPUTED_VALUE"""),"")</f>
        <v/>
      </c>
      <c r="F88" s="48" t="str">
        <f ca="1">IFERROR(__xludf.DUMMYFUNCTION("""COMPUTED_VALUE"""),"")</f>
        <v/>
      </c>
      <c r="G88" s="50" t="str">
        <f ca="1">IFERROR(__xludf.DUMMYFUNCTION("""COMPUTED_VALUE"""),"")</f>
        <v/>
      </c>
      <c r="H88" s="50" t="str">
        <f ca="1">IFERROR(__xludf.DUMMYFUNCTION("""COMPUTED_VALUE"""),"")</f>
        <v/>
      </c>
    </row>
    <row r="89" spans="1:8" ht="12.75">
      <c r="A89" s="46" t="str">
        <f ca="1">IFERROR(__xludf.DUMMYFUNCTION("""COMPUTED_VALUE"""),"")</f>
        <v/>
      </c>
      <c r="B89" s="65"/>
      <c r="C89" s="48" t="str">
        <f ca="1">IFERROR(__xludf.DUMMYFUNCTION("""COMPUTED_VALUE"""),"")</f>
        <v/>
      </c>
      <c r="D89" s="48" t="str">
        <f ca="1">IFERROR(__xludf.DUMMYFUNCTION("""COMPUTED_VALUE"""),"")</f>
        <v/>
      </c>
      <c r="E89" s="49" t="str">
        <f ca="1">IFERROR(__xludf.DUMMYFUNCTION("""COMPUTED_VALUE"""),"")</f>
        <v/>
      </c>
      <c r="F89" s="48" t="str">
        <f ca="1">IFERROR(__xludf.DUMMYFUNCTION("""COMPUTED_VALUE"""),"")</f>
        <v/>
      </c>
      <c r="G89" s="50" t="str">
        <f ca="1">IFERROR(__xludf.DUMMYFUNCTION("""COMPUTED_VALUE"""),"")</f>
        <v/>
      </c>
      <c r="H89" s="50" t="str">
        <f ca="1">IFERROR(__xludf.DUMMYFUNCTION("""COMPUTED_VALUE"""),"")</f>
        <v/>
      </c>
    </row>
    <row r="90" spans="1:8" ht="12.75">
      <c r="A90" s="46" t="str">
        <f ca="1">IFERROR(__xludf.DUMMYFUNCTION("""COMPUTED_VALUE"""),"")</f>
        <v/>
      </c>
      <c r="B90" s="65"/>
      <c r="C90" s="48" t="str">
        <f ca="1">IFERROR(__xludf.DUMMYFUNCTION("""COMPUTED_VALUE"""),"")</f>
        <v/>
      </c>
      <c r="D90" s="48" t="str">
        <f ca="1">IFERROR(__xludf.DUMMYFUNCTION("""COMPUTED_VALUE"""),"")</f>
        <v/>
      </c>
      <c r="E90" s="49" t="str">
        <f ca="1">IFERROR(__xludf.DUMMYFUNCTION("""COMPUTED_VALUE"""),"")</f>
        <v/>
      </c>
      <c r="F90" s="48" t="str">
        <f ca="1">IFERROR(__xludf.DUMMYFUNCTION("""COMPUTED_VALUE"""),"")</f>
        <v/>
      </c>
      <c r="G90" s="50" t="str">
        <f ca="1">IFERROR(__xludf.DUMMYFUNCTION("""COMPUTED_VALUE"""),"")</f>
        <v/>
      </c>
      <c r="H90" s="50" t="str">
        <f ca="1">IFERROR(__xludf.DUMMYFUNCTION("""COMPUTED_VALUE"""),"")</f>
        <v/>
      </c>
    </row>
    <row r="91" spans="1:8" ht="12.75">
      <c r="A91" s="46" t="str">
        <f ca="1">IFERROR(__xludf.DUMMYFUNCTION("""COMPUTED_VALUE"""),"")</f>
        <v/>
      </c>
      <c r="B91" s="65"/>
      <c r="C91" s="48" t="str">
        <f ca="1">IFERROR(__xludf.DUMMYFUNCTION("""COMPUTED_VALUE"""),"")</f>
        <v/>
      </c>
      <c r="D91" s="48" t="str">
        <f ca="1">IFERROR(__xludf.DUMMYFUNCTION("""COMPUTED_VALUE"""),"")</f>
        <v/>
      </c>
      <c r="E91" s="49" t="str">
        <f ca="1">IFERROR(__xludf.DUMMYFUNCTION("""COMPUTED_VALUE"""),"")</f>
        <v/>
      </c>
      <c r="F91" s="48" t="str">
        <f ca="1">IFERROR(__xludf.DUMMYFUNCTION("""COMPUTED_VALUE"""),"")</f>
        <v/>
      </c>
      <c r="G91" s="50" t="str">
        <f ca="1">IFERROR(__xludf.DUMMYFUNCTION("""COMPUTED_VALUE"""),"")</f>
        <v/>
      </c>
      <c r="H91" s="50" t="str">
        <f ca="1">IFERROR(__xludf.DUMMYFUNCTION("""COMPUTED_VALUE"""),"")</f>
        <v/>
      </c>
    </row>
    <row r="92" spans="1:8" ht="12.75">
      <c r="A92" s="46" t="str">
        <f ca="1">IFERROR(__xludf.DUMMYFUNCTION("""COMPUTED_VALUE"""),"")</f>
        <v/>
      </c>
      <c r="B92" s="65"/>
      <c r="C92" s="48" t="str">
        <f ca="1">IFERROR(__xludf.DUMMYFUNCTION("""COMPUTED_VALUE"""),"")</f>
        <v/>
      </c>
      <c r="D92" s="48" t="str">
        <f ca="1">IFERROR(__xludf.DUMMYFUNCTION("""COMPUTED_VALUE"""),"")</f>
        <v/>
      </c>
      <c r="E92" s="49" t="str">
        <f ca="1">IFERROR(__xludf.DUMMYFUNCTION("""COMPUTED_VALUE"""),"")</f>
        <v/>
      </c>
      <c r="F92" s="48" t="str">
        <f ca="1">IFERROR(__xludf.DUMMYFUNCTION("""COMPUTED_VALUE"""),"")</f>
        <v/>
      </c>
      <c r="G92" s="50" t="str">
        <f ca="1">IFERROR(__xludf.DUMMYFUNCTION("""COMPUTED_VALUE"""),"")</f>
        <v/>
      </c>
      <c r="H92" s="50" t="str">
        <f ca="1">IFERROR(__xludf.DUMMYFUNCTION("""COMPUTED_VALUE"""),"")</f>
        <v/>
      </c>
    </row>
    <row r="93" spans="1:8" ht="12.75">
      <c r="A93" s="46" t="str">
        <f ca="1">IFERROR(__xludf.DUMMYFUNCTION("""COMPUTED_VALUE"""),"")</f>
        <v/>
      </c>
      <c r="B93" s="65"/>
      <c r="C93" s="48" t="str">
        <f ca="1">IFERROR(__xludf.DUMMYFUNCTION("""COMPUTED_VALUE"""),"")</f>
        <v/>
      </c>
      <c r="D93" s="48" t="str">
        <f ca="1">IFERROR(__xludf.DUMMYFUNCTION("""COMPUTED_VALUE"""),"")</f>
        <v/>
      </c>
      <c r="E93" s="49" t="str">
        <f ca="1">IFERROR(__xludf.DUMMYFUNCTION("""COMPUTED_VALUE"""),"")</f>
        <v/>
      </c>
      <c r="F93" s="48" t="str">
        <f ca="1">IFERROR(__xludf.DUMMYFUNCTION("""COMPUTED_VALUE"""),"")</f>
        <v/>
      </c>
      <c r="G93" s="50" t="str">
        <f ca="1">IFERROR(__xludf.DUMMYFUNCTION("""COMPUTED_VALUE"""),"")</f>
        <v/>
      </c>
      <c r="H93" s="50" t="str">
        <f ca="1">IFERROR(__xludf.DUMMYFUNCTION("""COMPUTED_VALUE"""),"")</f>
        <v/>
      </c>
    </row>
    <row r="94" spans="1:8" ht="12.75">
      <c r="A94" s="46" t="str">
        <f ca="1">IFERROR(__xludf.DUMMYFUNCTION("""COMPUTED_VALUE"""),"")</f>
        <v/>
      </c>
      <c r="B94" s="65"/>
      <c r="C94" s="48" t="str">
        <f ca="1">IFERROR(__xludf.DUMMYFUNCTION("""COMPUTED_VALUE"""),"")</f>
        <v/>
      </c>
      <c r="D94" s="48" t="str">
        <f ca="1">IFERROR(__xludf.DUMMYFUNCTION("""COMPUTED_VALUE"""),"")</f>
        <v/>
      </c>
      <c r="E94" s="49" t="str">
        <f ca="1">IFERROR(__xludf.DUMMYFUNCTION("""COMPUTED_VALUE"""),"")</f>
        <v/>
      </c>
      <c r="F94" s="48" t="str">
        <f ca="1">IFERROR(__xludf.DUMMYFUNCTION("""COMPUTED_VALUE"""),"")</f>
        <v/>
      </c>
      <c r="G94" s="50" t="str">
        <f ca="1">IFERROR(__xludf.DUMMYFUNCTION("""COMPUTED_VALUE"""),"")</f>
        <v/>
      </c>
      <c r="H94" s="50" t="str">
        <f ca="1">IFERROR(__xludf.DUMMYFUNCTION("""COMPUTED_VALUE"""),"")</f>
        <v/>
      </c>
    </row>
    <row r="95" spans="1:8" ht="12.75">
      <c r="A95" s="46" t="str">
        <f ca="1">IFERROR(__xludf.DUMMYFUNCTION("""COMPUTED_VALUE"""),"")</f>
        <v/>
      </c>
      <c r="B95" s="65"/>
      <c r="C95" s="48" t="str">
        <f ca="1">IFERROR(__xludf.DUMMYFUNCTION("""COMPUTED_VALUE"""),"")</f>
        <v/>
      </c>
      <c r="D95" s="48" t="str">
        <f ca="1">IFERROR(__xludf.DUMMYFUNCTION("""COMPUTED_VALUE"""),"")</f>
        <v/>
      </c>
      <c r="E95" s="49" t="str">
        <f ca="1">IFERROR(__xludf.DUMMYFUNCTION("""COMPUTED_VALUE"""),"")</f>
        <v/>
      </c>
      <c r="F95" s="48" t="str">
        <f ca="1">IFERROR(__xludf.DUMMYFUNCTION("""COMPUTED_VALUE"""),"")</f>
        <v/>
      </c>
      <c r="G95" s="50" t="str">
        <f ca="1">IFERROR(__xludf.DUMMYFUNCTION("""COMPUTED_VALUE"""),"")</f>
        <v/>
      </c>
      <c r="H95" s="50" t="str">
        <f ca="1">IFERROR(__xludf.DUMMYFUNCTION("""COMPUTED_VALUE"""),"")</f>
        <v/>
      </c>
    </row>
    <row r="96" spans="1:8" ht="12.75">
      <c r="A96" s="46" t="str">
        <f ca="1">IFERROR(__xludf.DUMMYFUNCTION("""COMPUTED_VALUE"""),"")</f>
        <v/>
      </c>
      <c r="B96" s="65"/>
      <c r="C96" s="48" t="str">
        <f ca="1">IFERROR(__xludf.DUMMYFUNCTION("""COMPUTED_VALUE"""),"")</f>
        <v/>
      </c>
      <c r="D96" s="48" t="str">
        <f ca="1">IFERROR(__xludf.DUMMYFUNCTION("""COMPUTED_VALUE"""),"")</f>
        <v/>
      </c>
      <c r="E96" s="49" t="str">
        <f ca="1">IFERROR(__xludf.DUMMYFUNCTION("""COMPUTED_VALUE"""),"")</f>
        <v/>
      </c>
      <c r="F96" s="48" t="str">
        <f ca="1">IFERROR(__xludf.DUMMYFUNCTION("""COMPUTED_VALUE"""),"")</f>
        <v/>
      </c>
      <c r="G96" s="50" t="str">
        <f ca="1">IFERROR(__xludf.DUMMYFUNCTION("""COMPUTED_VALUE"""),"")</f>
        <v/>
      </c>
      <c r="H96" s="50" t="str">
        <f ca="1">IFERROR(__xludf.DUMMYFUNCTION("""COMPUTED_VALUE"""),"")</f>
        <v/>
      </c>
    </row>
    <row r="97" spans="1:8" ht="12.75">
      <c r="A97" s="46" t="str">
        <f ca="1">IFERROR(__xludf.DUMMYFUNCTION("""COMPUTED_VALUE"""),"")</f>
        <v/>
      </c>
      <c r="B97" s="65"/>
      <c r="C97" s="48" t="str">
        <f ca="1">IFERROR(__xludf.DUMMYFUNCTION("""COMPUTED_VALUE"""),"")</f>
        <v/>
      </c>
      <c r="D97" s="48" t="str">
        <f ca="1">IFERROR(__xludf.DUMMYFUNCTION("""COMPUTED_VALUE"""),"")</f>
        <v/>
      </c>
      <c r="E97" s="49" t="str">
        <f ca="1">IFERROR(__xludf.DUMMYFUNCTION("""COMPUTED_VALUE"""),"")</f>
        <v/>
      </c>
      <c r="F97" s="48" t="str">
        <f ca="1">IFERROR(__xludf.DUMMYFUNCTION("""COMPUTED_VALUE"""),"")</f>
        <v/>
      </c>
      <c r="G97" s="50" t="str">
        <f ca="1">IFERROR(__xludf.DUMMYFUNCTION("""COMPUTED_VALUE"""),"")</f>
        <v/>
      </c>
      <c r="H97" s="50" t="str">
        <f ca="1">IFERROR(__xludf.DUMMYFUNCTION("""COMPUTED_VALUE"""),"")</f>
        <v/>
      </c>
    </row>
    <row r="98" spans="1:8" ht="12.75">
      <c r="A98" s="46" t="str">
        <f ca="1">IFERROR(__xludf.DUMMYFUNCTION("""COMPUTED_VALUE"""),"")</f>
        <v/>
      </c>
      <c r="B98" s="65"/>
      <c r="C98" s="48" t="str">
        <f ca="1">IFERROR(__xludf.DUMMYFUNCTION("""COMPUTED_VALUE"""),"")</f>
        <v/>
      </c>
      <c r="D98" s="48" t="str">
        <f ca="1">IFERROR(__xludf.DUMMYFUNCTION("""COMPUTED_VALUE"""),"")</f>
        <v/>
      </c>
      <c r="E98" s="49" t="str">
        <f ca="1">IFERROR(__xludf.DUMMYFUNCTION("""COMPUTED_VALUE"""),"")</f>
        <v/>
      </c>
      <c r="F98" s="48" t="str">
        <f ca="1">IFERROR(__xludf.DUMMYFUNCTION("""COMPUTED_VALUE"""),"")</f>
        <v/>
      </c>
      <c r="G98" s="50" t="str">
        <f ca="1">IFERROR(__xludf.DUMMYFUNCTION("""COMPUTED_VALUE"""),"")</f>
        <v/>
      </c>
      <c r="H98" s="50" t="str">
        <f ca="1">IFERROR(__xludf.DUMMYFUNCTION("""COMPUTED_VALUE"""),"")</f>
        <v/>
      </c>
    </row>
    <row r="99" spans="1:8" ht="12.75">
      <c r="A99" s="46" t="str">
        <f ca="1">IFERROR(__xludf.DUMMYFUNCTION("""COMPUTED_VALUE"""),"")</f>
        <v/>
      </c>
      <c r="B99" s="65"/>
      <c r="C99" s="48" t="str">
        <f ca="1">IFERROR(__xludf.DUMMYFUNCTION("""COMPUTED_VALUE"""),"")</f>
        <v/>
      </c>
      <c r="D99" s="48" t="str">
        <f ca="1">IFERROR(__xludf.DUMMYFUNCTION("""COMPUTED_VALUE"""),"")</f>
        <v/>
      </c>
      <c r="E99" s="49" t="str">
        <f ca="1">IFERROR(__xludf.DUMMYFUNCTION("""COMPUTED_VALUE"""),"")</f>
        <v/>
      </c>
      <c r="F99" s="48" t="str">
        <f ca="1">IFERROR(__xludf.DUMMYFUNCTION("""COMPUTED_VALUE"""),"")</f>
        <v/>
      </c>
      <c r="G99" s="50" t="str">
        <f ca="1">IFERROR(__xludf.DUMMYFUNCTION("""COMPUTED_VALUE"""),"")</f>
        <v/>
      </c>
      <c r="H99" s="50" t="str">
        <f ca="1">IFERROR(__xludf.DUMMYFUNCTION("""COMPUTED_VALUE"""),"")</f>
        <v/>
      </c>
    </row>
  </sheetData>
  <mergeCells count="4">
    <mergeCell ref="F1:H2"/>
    <mergeCell ref="F3:H4"/>
    <mergeCell ref="A6:H6"/>
    <mergeCell ref="A8:H8"/>
  </mergeCells>
  <pageMargins left="0.7" right="0.7" top="0.75" bottom="0.75" header="0.3" footer="0.3"/>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14</vt:i4>
      </vt:variant>
    </vt:vector>
  </HeadingPairs>
  <TitlesOfParts>
    <vt:vector size="14" baseType="lpstr">
      <vt:lpstr>Règlements</vt:lpstr>
      <vt:lpstr>Explications</vt:lpstr>
      <vt:lpstr>AC</vt:lpstr>
      <vt:lpstr>ART</vt:lpstr>
      <vt:lpstr>AR</vt:lpstr>
      <vt:lpstr>AN</vt:lpstr>
      <vt:lpstr>AI</vt:lpstr>
      <vt:lpstr>JA1</vt:lpstr>
      <vt:lpstr>JA2</vt:lpstr>
      <vt:lpstr>JA3</vt:lpstr>
      <vt:lpstr>JAN</vt:lpstr>
      <vt:lpstr>JAI</vt:lpstr>
      <vt:lpstr>FO</vt:lpstr>
      <vt:lpstr>Récapitulatif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José ALVAREZ</cp:lastModifiedBy>
  <dcterms:modified xsi:type="dcterms:W3CDTF">2025-09-04T13:39:02Z</dcterms:modified>
</cp:coreProperties>
</file>